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2.2\"/>
    </mc:Choice>
  </mc:AlternateContent>
  <bookViews>
    <workbookView xWindow="1440" yWindow="1290" windowWidth="15480" windowHeight="11190"/>
  </bookViews>
  <sheets>
    <sheet name="2.2.6.2015" sheetId="1" r:id="rId1"/>
  </sheets>
  <definedNames>
    <definedName name="_xlnm._FilterDatabase" localSheetId="0" hidden="1">'2.2.6.2015'!$A$10:$S$56</definedName>
    <definedName name="A_IMPRESIÓN_IM" localSheetId="0">'2.2.6.2015'!#REF!</definedName>
    <definedName name="A_IMPRESIÓN_IM">#REF!</definedName>
    <definedName name="_xlnm.Print_Area" localSheetId="0">'2.2.6.2015'!$A$8:$AA$52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primir_área_IM" localSheetId="0">'2.2.6.2015'!#REF!</definedName>
    <definedName name="N.ORDINARIA">#REF!</definedName>
    <definedName name="NOMINAORDINARIA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Q52" i="1" l="1"/>
  <c r="M19" i="1"/>
  <c r="M18" i="1"/>
  <c r="M17" i="1"/>
  <c r="M16" i="1"/>
  <c r="K52" i="1"/>
  <c r="K51" i="1"/>
  <c r="K50" i="1"/>
  <c r="K46" i="1"/>
  <c r="K44" i="1"/>
  <c r="K43" i="1"/>
  <c r="K42" i="1"/>
  <c r="K41" i="1"/>
  <c r="K40" i="1"/>
  <c r="K39" i="1"/>
  <c r="K38" i="1"/>
  <c r="K37" i="1"/>
  <c r="K35" i="1"/>
  <c r="K34" i="1"/>
  <c r="K33" i="1"/>
  <c r="K31" i="1"/>
  <c r="K29" i="1"/>
  <c r="K28" i="1"/>
  <c r="K27" i="1"/>
  <c r="K26" i="1"/>
  <c r="K22" i="1"/>
  <c r="K23" i="1"/>
  <c r="K19" i="1"/>
  <c r="K18" i="1"/>
  <c r="K17" i="1"/>
  <c r="K16" i="1"/>
  <c r="I52" i="1"/>
  <c r="I49" i="1"/>
  <c r="I46" i="1"/>
  <c r="I43" i="1"/>
  <c r="I42" i="1"/>
  <c r="I37" i="1"/>
  <c r="I36" i="1"/>
  <c r="I33" i="1"/>
  <c r="I31" i="1"/>
  <c r="I30" i="1"/>
  <c r="I26" i="1"/>
  <c r="I23" i="1"/>
  <c r="I22" i="1"/>
  <c r="I17" i="1"/>
  <c r="I16" i="1"/>
  <c r="G48" i="1"/>
  <c r="G46" i="1"/>
  <c r="G44" i="1"/>
  <c r="G43" i="1"/>
  <c r="G42" i="1"/>
  <c r="G41" i="1"/>
  <c r="G38" i="1"/>
  <c r="G37" i="1"/>
  <c r="G35" i="1"/>
  <c r="G34" i="1"/>
  <c r="G31" i="1"/>
  <c r="G29" i="1"/>
  <c r="G27" i="1"/>
  <c r="G26" i="1"/>
  <c r="G24" i="1"/>
  <c r="G23" i="1"/>
  <c r="G22" i="1"/>
  <c r="G19" i="1"/>
  <c r="G17" i="1"/>
  <c r="G16" i="1"/>
  <c r="E19" i="1"/>
  <c r="E18" i="1"/>
  <c r="E17" i="1"/>
  <c r="E16" i="1"/>
  <c r="C18" i="1"/>
  <c r="C17" i="1"/>
  <c r="E52" i="1"/>
  <c r="E48" i="1"/>
  <c r="E46" i="1"/>
  <c r="E44" i="1"/>
  <c r="E43" i="1"/>
  <c r="E42" i="1"/>
  <c r="E40" i="1"/>
  <c r="E37" i="1"/>
  <c r="E35" i="1"/>
  <c r="E34" i="1"/>
  <c r="E33" i="1"/>
  <c r="E31" i="1"/>
  <c r="E29" i="1"/>
  <c r="E27" i="1"/>
  <c r="E26" i="1"/>
  <c r="E25" i="1"/>
  <c r="E23" i="1"/>
  <c r="E22" i="1"/>
  <c r="C52" i="1"/>
  <c r="C47" i="1"/>
  <c r="C46" i="1"/>
  <c r="C39" i="1"/>
  <c r="C37" i="1"/>
  <c r="C35" i="1"/>
  <c r="C33" i="1"/>
  <c r="C31" i="1"/>
  <c r="C25" i="1"/>
  <c r="C22" i="1"/>
  <c r="AA52" i="1" l="1"/>
  <c r="Z52" i="1"/>
  <c r="AA51" i="1"/>
  <c r="Z51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Z17" i="1"/>
  <c r="AA17" i="1"/>
  <c r="Z18" i="1"/>
  <c r="AA18" i="1"/>
  <c r="Z19" i="1"/>
  <c r="AA19" i="1"/>
  <c r="AA16" i="1"/>
  <c r="Z16" i="1"/>
  <c r="Y21" i="1"/>
  <c r="X21" i="1"/>
  <c r="W21" i="1"/>
  <c r="V21" i="1"/>
  <c r="U21" i="1"/>
  <c r="T21" i="1"/>
  <c r="S21" i="1"/>
  <c r="R21" i="1"/>
  <c r="Q21" i="1"/>
  <c r="P21" i="1"/>
  <c r="Y15" i="1"/>
  <c r="X15" i="1"/>
  <c r="W15" i="1"/>
  <c r="V15" i="1"/>
  <c r="U15" i="1"/>
  <c r="T15" i="1"/>
  <c r="S15" i="1"/>
  <c r="R15" i="1"/>
  <c r="Q15" i="1"/>
  <c r="P1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15" i="1"/>
  <c r="N15" i="1"/>
  <c r="M15" i="1"/>
  <c r="M13" i="1" s="1"/>
  <c r="L15" i="1"/>
  <c r="K15" i="1"/>
  <c r="J15" i="1"/>
  <c r="I15" i="1"/>
  <c r="H15" i="1"/>
  <c r="G15" i="1"/>
  <c r="F15" i="1"/>
  <c r="E15" i="1"/>
  <c r="D15" i="1"/>
  <c r="C15" i="1"/>
  <c r="B15" i="1"/>
  <c r="H13" i="1" l="1"/>
  <c r="Z21" i="1"/>
  <c r="Z15" i="1"/>
  <c r="W13" i="1"/>
  <c r="Y13" i="1"/>
  <c r="U13" i="1"/>
  <c r="S13" i="1"/>
  <c r="Q13" i="1"/>
  <c r="O13" i="1"/>
  <c r="K13" i="1"/>
  <c r="I13" i="1"/>
  <c r="G13" i="1"/>
  <c r="E13" i="1"/>
  <c r="AA21" i="1"/>
  <c r="D13" i="1"/>
  <c r="P13" i="1"/>
  <c r="T13" i="1"/>
  <c r="X13" i="1"/>
  <c r="B13" i="1"/>
  <c r="F13" i="1"/>
  <c r="R13" i="1"/>
  <c r="V13" i="1"/>
  <c r="AA15" i="1"/>
  <c r="C13" i="1"/>
  <c r="L13" i="1"/>
  <c r="J13" i="1"/>
  <c r="N13" i="1"/>
  <c r="Z13" i="1" l="1"/>
  <c r="AA13" i="1"/>
</calcChain>
</file>

<file path=xl/sharedStrings.xml><?xml version="1.0" encoding="utf-8"?>
<sst xmlns="http://schemas.openxmlformats.org/spreadsheetml/2006/main" count="80" uniqueCount="55">
  <si>
    <t>Total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</si>
  <si>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</si>
  <si>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</si>
  <si>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</si>
  <si>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</si>
  <si>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</si>
  <si>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</si>
  <si>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</si>
  <si>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</si>
  <si>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</si>
  <si>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</si>
  <si>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</si>
  <si>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</si>
  <si>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</si>
  <si>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</si>
  <si>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</si>
  <si>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</si>
  <si>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</si>
  <si>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</si>
  <si>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</si>
  <si>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</si>
  <si>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</si>
  <si>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</si>
  <si>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</si>
  <si>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</si>
  <si>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</si>
  <si>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</si>
  <si>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</si>
  <si>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</si>
  <si>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</si>
  <si>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</si>
  <si>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</si>
  <si>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</si>
  <si>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</si>
  <si>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</si>
  <si>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Entidad</t>
  </si>
  <si>
    <t>Casos</t>
  </si>
  <si>
    <t>Importe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</si>
  <si>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</si>
  <si>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</si>
  <si>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</si>
  <si>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</si>
  <si>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</si>
  <si>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</si>
  <si>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</si>
  <si>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</si>
  <si>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</si>
  <si>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</si>
  <si>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</si>
  <si>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</si>
  <si>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Distrito Federal</t>
  </si>
  <si>
    <t>Nuevo León</t>
  </si>
  <si>
    <t>2.2.6 Subsidios por Enfermedades no Profesionales Mensuales Atendidos 
y Costo por Entidad Federativa (Miles De Pesos)</t>
  </si>
  <si>
    <t>Estados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</si>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</sst>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(#,##0\)"/>
    <numFmt numFmtId="165" formatCode="#,##0.0_);\(#,##0.0\)"/>
    <numFmt numFmtId="166" formatCode="&quot;$&quot;#,##0.0"/>
    <numFmt numFmtId="169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color theme="1"/>
      <name val="Calibri"/>
      <family val="2"/>
      <scheme val="minor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sz val="12"/>
      <color rgb="FF000000"/>
      <name val="Soberana Sans Light"/>
      <family val="3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2" applyFont="1"/>
    <xf numFmtId="0" fontId="3" fillId="0" borderId="0" xfId="2" applyFont="1" applyAlignment="1" applyProtection="1">
      <alignment horizontal="center"/>
    </xf>
    <xf numFmtId="0" fontId="4" fillId="0" borderId="0" xfId="2" applyFont="1"/>
    <xf numFmtId="165" fontId="3" fillId="0" borderId="0" xfId="2" applyNumberFormat="1" applyFont="1"/>
    <xf numFmtId="0" fontId="3" fillId="0" borderId="0" xfId="2" applyFont="1" applyBorder="1"/>
    <xf numFmtId="0" fontId="2" fillId="0" borderId="0" xfId="2" applyFont="1" applyAlignment="1" applyProtection="1">
      <alignment horizontal="right"/>
    </xf>
    <xf numFmtId="0" fontId="6" fillId="0" borderId="0" xfId="2" applyFont="1"/>
    <xf numFmtId="0" fontId="11" fillId="0" borderId="0" xfId="0" applyFont="1"/>
    <xf numFmtId="0" fontId="7" fillId="0" borderId="0" xfId="2" applyFont="1"/>
    <xf numFmtId="0" fontId="12" fillId="0" borderId="0" xfId="0" applyFont="1" applyAlignment="1">
      <alignment vertical="center"/>
    </xf>
    <xf numFmtId="164" fontId="8" fillId="0" borderId="0" xfId="2" applyNumberFormat="1" applyFont="1" applyProtection="1"/>
    <xf numFmtId="0" fontId="11" fillId="0" borderId="0" xfId="0" applyFont="1" applyAlignment="1">
      <alignment vertical="center"/>
    </xf>
    <xf numFmtId="164" fontId="7" fillId="0" borderId="0" xfId="2" applyNumberFormat="1" applyFont="1" applyProtection="1"/>
    <xf numFmtId="1" fontId="7" fillId="0" borderId="0" xfId="2" applyNumberFormat="1" applyFont="1" applyProtection="1"/>
    <xf numFmtId="1" fontId="7" fillId="0" borderId="2" xfId="2" applyNumberFormat="1" applyFont="1" applyBorder="1" applyProtection="1"/>
    <xf numFmtId="0" fontId="7" fillId="0" borderId="0" xfId="2" applyFont="1" applyBorder="1" applyAlignment="1" applyProtection="1">
      <alignment horizontal="left"/>
    </xf>
    <xf numFmtId="164" fontId="7" fillId="0" borderId="0" xfId="2" applyNumberFormat="1" applyFont="1" applyBorder="1" applyProtection="1"/>
    <xf numFmtId="165" fontId="7" fillId="0" borderId="0" xfId="2" applyNumberFormat="1" applyFont="1" applyBorder="1" applyProtection="1"/>
    <xf numFmtId="0" fontId="7" fillId="0" borderId="0" xfId="2" applyFont="1" applyBorder="1"/>
    <xf numFmtId="1" fontId="8" fillId="0" borderId="0" xfId="2" applyNumberFormat="1" applyFont="1" applyProtection="1"/>
    <xf numFmtId="0" fontId="11" fillId="0" borderId="2" xfId="0" applyFont="1" applyBorder="1" applyAlignment="1">
      <alignment vertical="center"/>
    </xf>
    <xf numFmtId="1" fontId="7" fillId="0" borderId="0" xfId="2" applyNumberFormat="1" applyFont="1" applyAlignment="1" applyProtection="1">
      <alignment horizontal="right"/>
    </xf>
    <xf numFmtId="0" fontId="6" fillId="0" borderId="0" xfId="2" applyFont="1" applyBorder="1"/>
    <xf numFmtId="165" fontId="6" fillId="0" borderId="0" xfId="2" applyNumberFormat="1" applyFont="1" applyBorder="1" applyProtection="1"/>
    <xf numFmtId="164" fontId="6" fillId="0" borderId="0" xfId="2" applyNumberFormat="1" applyFont="1" applyBorder="1" applyProtection="1"/>
    <xf numFmtId="1" fontId="7" fillId="0" borderId="2" xfId="2" applyNumberFormat="1" applyFont="1" applyBorder="1" applyAlignment="1" applyProtection="1">
      <alignment horizontal="right"/>
    </xf>
    <xf numFmtId="165" fontId="2" fillId="0" borderId="0" xfId="2" applyNumberFormat="1" applyFont="1" applyAlignment="1" applyProtection="1">
      <alignment horizontal="right"/>
    </xf>
    <xf numFmtId="165" fontId="7" fillId="0" borderId="0" xfId="2" applyNumberFormat="1" applyFont="1"/>
    <xf numFmtId="165" fontId="7" fillId="0" borderId="0" xfId="2" applyNumberFormat="1" applyFont="1" applyBorder="1"/>
    <xf numFmtId="165" fontId="3" fillId="0" borderId="0" xfId="2" applyNumberFormat="1" applyFont="1" applyBorder="1"/>
    <xf numFmtId="165" fontId="3" fillId="0" borderId="0" xfId="1" applyNumberFormat="1" applyFont="1"/>
    <xf numFmtId="165" fontId="7" fillId="0" borderId="0" xfId="1" applyNumberFormat="1" applyFont="1" applyBorder="1" applyProtection="1"/>
    <xf numFmtId="1" fontId="7" fillId="0" borderId="0" xfId="2" applyNumberFormat="1" applyFont="1" applyFill="1" applyProtection="1"/>
    <xf numFmtId="166" fontId="8" fillId="0" borderId="0" xfId="3" applyNumberFormat="1" applyFont="1" applyProtection="1"/>
    <xf numFmtId="166" fontId="7" fillId="0" borderId="0" xfId="3" applyNumberFormat="1" applyFont="1" applyProtection="1"/>
    <xf numFmtId="166" fontId="7" fillId="0" borderId="2" xfId="3" applyNumberFormat="1" applyFont="1" applyBorder="1" applyProtection="1"/>
    <xf numFmtId="166" fontId="7" fillId="0" borderId="0" xfId="3" applyNumberFormat="1" applyFont="1" applyFill="1" applyProtection="1"/>
    <xf numFmtId="0" fontId="9" fillId="0" borderId="1" xfId="2" applyFont="1" applyFill="1" applyBorder="1" applyAlignment="1" applyProtection="1">
      <alignment horizontal="center" vertical="center"/>
    </xf>
    <xf numFmtId="165" fontId="9" fillId="0" borderId="1" xfId="2" applyNumberFormat="1" applyFont="1" applyFill="1" applyBorder="1" applyAlignment="1" applyProtection="1">
      <alignment horizontal="center" vertical="center"/>
    </xf>
    <xf numFmtId="165" fontId="9" fillId="0" borderId="1" xfId="1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/>
    <xf numFmtId="0" fontId="14" fillId="2" borderId="0" xfId="0" applyFont="1" applyFill="1" applyAlignment="1">
      <alignment horizontal="left" indent="12"/>
    </xf>
    <xf numFmtId="0" fontId="13" fillId="2" borderId="0" xfId="0" applyFont="1" applyFill="1" applyAlignment="1">
      <alignment horizontal="right"/>
    </xf>
    <xf numFmtId="0" fontId="9" fillId="0" borderId="1" xfId="2" applyFont="1" applyFill="1" applyBorder="1" applyAlignment="1" applyProtection="1">
      <alignment horizontal="center" vertical="center"/>
    </xf>
    <xf numFmtId="0" fontId="2" fillId="0" borderId="0" xfId="2" applyFont="1" applyAlignment="1" applyProtection="1">
      <alignment horizontal="right"/>
    </xf>
    <xf numFmtId="0" fontId="5" fillId="0" borderId="0" xfId="2" applyFont="1" applyAlignment="1" applyProtection="1">
      <alignment horizontal="center" wrapText="1"/>
    </xf>
    <xf numFmtId="169" fontId="8" fillId="0" borderId="0" xfId="1" applyNumberFormat="1" applyFont="1" applyProtection="1"/>
  </cellXfs>
  <cellStyles count="4">
    <cellStyle name="Millares" xfId="1" builtinId="3"/>
    <cellStyle name="Moneda" xfId="3" builtinId="4"/>
    <cellStyle name="Normal" xfId="0" builtinId="0"/>
    <cellStyle name="Normal_2 2 6 SUBSIDIOS POR ENFERMEDADES NO PROFESIONAL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619125</xdr:colOff>
      <xdr:row>5</xdr:row>
      <xdr:rowOff>0</xdr:rowOff>
    </xdr:to>
    <xdr:pic>
      <xdr:nvPicPr>
        <xdr:cNvPr id="118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860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402167</xdr:colOff>
      <xdr:row>0</xdr:row>
      <xdr:rowOff>0</xdr:rowOff>
    </xdr:from>
    <xdr:to>
      <xdr:col>26</xdr:col>
      <xdr:colOff>891118</xdr:colOff>
      <xdr:row>4</xdr:row>
      <xdr:rowOff>98059</xdr:rowOff>
    </xdr:to>
    <xdr:pic>
      <xdr:nvPicPr>
        <xdr:cNvPr id="118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9896667" y="0"/>
          <a:ext cx="2859618" cy="90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D56"/>
  <sheetViews>
    <sheetView showGridLines="0" tabSelected="1" zoomScale="90" zoomScaleNormal="90" zoomScaleSheetLayoutView="70" workbookViewId="0">
      <selection activeCell="AA22" sqref="AA22"/>
    </sheetView>
  </sheetViews>
  <sheetFormatPr baseColWidth="10" defaultColWidth="13.28515625" defaultRowHeight="12.75" x14ac:dyDescent="0.2"/>
  <cols>
    <col min="1" max="1" width="19.7109375" style="1" customWidth="1"/>
    <col min="2" max="2" width="10.85546875" style="1" customWidth="1"/>
    <col min="3" max="3" width="14.28515625" style="4" customWidth="1"/>
    <col min="4" max="4" width="10.85546875" style="1" customWidth="1"/>
    <col min="5" max="5" width="14" style="4" customWidth="1"/>
    <col min="6" max="6" width="10.85546875" style="1" customWidth="1"/>
    <col min="7" max="7" width="14" style="4" customWidth="1"/>
    <col min="8" max="8" width="10.85546875" style="1" customWidth="1"/>
    <col min="9" max="9" width="14" style="4" customWidth="1"/>
    <col min="10" max="10" width="10.85546875" style="1" customWidth="1"/>
    <col min="11" max="11" width="14" style="4" customWidth="1"/>
    <col min="12" max="12" width="10.85546875" style="1" customWidth="1"/>
    <col min="13" max="13" width="14" style="4" customWidth="1"/>
    <col min="14" max="14" width="10.85546875" style="1" customWidth="1"/>
    <col min="15" max="15" width="14" style="4" customWidth="1"/>
    <col min="16" max="16" width="10.85546875" style="1" customWidth="1"/>
    <col min="17" max="17" width="14" style="4" customWidth="1"/>
    <col min="18" max="18" width="10.85546875" style="1" customWidth="1"/>
    <col min="19" max="19" width="14" style="4" customWidth="1"/>
    <col min="20" max="20" width="10.85546875" style="1" customWidth="1"/>
    <col min="21" max="21" width="14" style="4" customWidth="1"/>
    <col min="22" max="22" width="10.85546875" style="1" customWidth="1"/>
    <col min="23" max="23" width="14" style="4" customWidth="1"/>
    <col min="24" max="24" width="10.85546875" style="1" customWidth="1"/>
    <col min="25" max="25" width="14" style="31" customWidth="1"/>
    <col min="26" max="26" width="10.85546875" style="1" customWidth="1"/>
    <col min="27" max="27" width="17.42578125" style="31" bestFit="1" customWidth="1"/>
    <col min="28" max="16384" width="13.28515625" style="1"/>
  </cols>
  <sheetData>
    <row r="1" spans="1:30" ht="15.75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30" ht="15.75" customHeight="1" x14ac:dyDescent="0.2">
      <c r="A2" s="6"/>
      <c r="B2" s="6"/>
      <c r="C2" s="27"/>
      <c r="D2" s="6"/>
      <c r="E2" s="27"/>
      <c r="F2" s="6"/>
      <c r="G2" s="27"/>
      <c r="H2" s="6"/>
      <c r="I2" s="27"/>
      <c r="J2" s="6"/>
      <c r="K2" s="27"/>
      <c r="L2" s="6"/>
      <c r="M2" s="27"/>
      <c r="N2" s="6"/>
      <c r="O2" s="27"/>
    </row>
    <row r="3" spans="1:30" ht="15.75" customHeight="1" x14ac:dyDescent="0.2">
      <c r="A3" s="6"/>
      <c r="B3" s="6"/>
      <c r="C3" s="27"/>
      <c r="D3" s="6"/>
      <c r="E3" s="27"/>
      <c r="F3" s="6"/>
      <c r="G3" s="27"/>
      <c r="H3" s="6"/>
      <c r="I3" s="27"/>
      <c r="J3" s="6"/>
      <c r="K3" s="27"/>
      <c r="L3" s="6"/>
      <c r="M3" s="27"/>
      <c r="N3" s="6"/>
      <c r="O3" s="27"/>
    </row>
    <row r="4" spans="1:30" ht="15.75" customHeight="1" x14ac:dyDescent="0.2">
      <c r="A4" s="6"/>
      <c r="B4" s="6"/>
      <c r="C4" s="27"/>
      <c r="D4" s="6"/>
      <c r="E4" s="27"/>
      <c r="F4" s="6"/>
      <c r="G4" s="27"/>
      <c r="H4" s="6"/>
      <c r="I4" s="27"/>
      <c r="J4" s="6"/>
      <c r="K4" s="27"/>
      <c r="L4" s="6"/>
      <c r="M4" s="27"/>
      <c r="N4" s="6"/>
      <c r="O4" s="27"/>
    </row>
    <row r="5" spans="1:30" ht="15.75" customHeight="1" x14ac:dyDescent="0.2">
      <c r="A5" s="6"/>
      <c r="B5" s="6"/>
      <c r="C5" s="27"/>
      <c r="D5" s="6"/>
      <c r="E5" s="27"/>
      <c r="F5" s="6"/>
      <c r="G5" s="27"/>
      <c r="H5" s="6"/>
      <c r="I5" s="27"/>
      <c r="J5" s="6"/>
      <c r="K5" s="27"/>
      <c r="L5" s="6"/>
      <c r="M5" s="27"/>
      <c r="N5" s="6"/>
      <c r="O5" s="27"/>
    </row>
    <row r="6" spans="1:30" ht="16.5" customHeight="1" x14ac:dyDescent="0.25">
      <c r="A6" s="43" t="s">
        <v>54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</row>
    <row r="7" spans="1:30" ht="12.75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1"/>
      <c r="K7" s="42"/>
      <c r="L7" s="42"/>
      <c r="M7" s="42"/>
      <c r="N7" s="42"/>
      <c r="O7" s="42"/>
      <c r="P7" s="42"/>
      <c r="Q7" s="42"/>
      <c r="R7" s="42"/>
      <c r="S7" s="41"/>
      <c r="T7" s="42"/>
      <c r="U7" s="42"/>
      <c r="V7" s="42"/>
      <c r="W7" s="42"/>
      <c r="X7" s="42"/>
      <c r="Y7" s="42"/>
      <c r="Z7" s="42"/>
      <c r="AA7" s="42"/>
    </row>
    <row r="8" spans="1:30" ht="38.25" customHeight="1" x14ac:dyDescent="0.3">
      <c r="A8" s="46" t="s">
        <v>52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1:30" x14ac:dyDescent="0.2">
      <c r="F9" s="2"/>
    </row>
    <row r="10" spans="1:30" ht="18" customHeight="1" x14ac:dyDescent="0.2">
      <c r="A10" s="44" t="s">
        <v>35</v>
      </c>
      <c r="B10" s="44" t="s">
        <v>38</v>
      </c>
      <c r="C10" s="44"/>
      <c r="D10" s="44" t="s">
        <v>39</v>
      </c>
      <c r="E10" s="44"/>
      <c r="F10" s="44" t="s">
        <v>40</v>
      </c>
      <c r="G10" s="44"/>
      <c r="H10" s="44" t="s">
        <v>41</v>
      </c>
      <c r="I10" s="44"/>
      <c r="J10" s="44" t="s">
        <v>42</v>
      </c>
      <c r="K10" s="44"/>
      <c r="L10" s="44" t="s">
        <v>43</v>
      </c>
      <c r="M10" s="44"/>
      <c r="N10" s="44" t="s">
        <v>44</v>
      </c>
      <c r="O10" s="44"/>
      <c r="P10" s="44" t="s">
        <v>45</v>
      </c>
      <c r="Q10" s="44"/>
      <c r="R10" s="44" t="s">
        <v>46</v>
      </c>
      <c r="S10" s="44"/>
      <c r="T10" s="44" t="s">
        <v>47</v>
      </c>
      <c r="U10" s="44"/>
      <c r="V10" s="44" t="s">
        <v>48</v>
      </c>
      <c r="W10" s="44"/>
      <c r="X10" s="44" t="s">
        <v>49</v>
      </c>
      <c r="Y10" s="44"/>
      <c r="Z10" s="44" t="s">
        <v>0</v>
      </c>
      <c r="AA10" s="44"/>
    </row>
    <row r="11" spans="1:30" ht="18" customHeight="1" x14ac:dyDescent="0.2">
      <c r="A11" s="44"/>
      <c r="B11" s="38" t="s">
        <v>36</v>
      </c>
      <c r="C11" s="39" t="s">
        <v>37</v>
      </c>
      <c r="D11" s="38" t="s">
        <v>36</v>
      </c>
      <c r="E11" s="39" t="s">
        <v>37</v>
      </c>
      <c r="F11" s="38" t="s">
        <v>36</v>
      </c>
      <c r="G11" s="39" t="s">
        <v>37</v>
      </c>
      <c r="H11" s="38" t="s">
        <v>36</v>
      </c>
      <c r="I11" s="39" t="s">
        <v>37</v>
      </c>
      <c r="J11" s="38" t="s">
        <v>36</v>
      </c>
      <c r="K11" s="39" t="s">
        <v>37</v>
      </c>
      <c r="L11" s="38" t="s">
        <v>36</v>
      </c>
      <c r="M11" s="39" t="s">
        <v>37</v>
      </c>
      <c r="N11" s="38" t="s">
        <v>36</v>
      </c>
      <c r="O11" s="39" t="s">
        <v>37</v>
      </c>
      <c r="P11" s="38" t="s">
        <v>36</v>
      </c>
      <c r="Q11" s="39" t="s">
        <v>37</v>
      </c>
      <c r="R11" s="38" t="s">
        <v>36</v>
      </c>
      <c r="S11" s="39" t="s">
        <v>37</v>
      </c>
      <c r="T11" s="38" t="s">
        <v>36</v>
      </c>
      <c r="U11" s="39" t="s">
        <v>37</v>
      </c>
      <c r="V11" s="38" t="s">
        <v>36</v>
      </c>
      <c r="W11" s="39" t="s">
        <v>37</v>
      </c>
      <c r="X11" s="38" t="s">
        <v>36</v>
      </c>
      <c r="Y11" s="40" t="s">
        <v>37</v>
      </c>
      <c r="Z11" s="38" t="s">
        <v>36</v>
      </c>
      <c r="AA11" s="40" t="s">
        <v>37</v>
      </c>
    </row>
    <row r="12" spans="1:30" ht="15.75" customHeight="1" x14ac:dyDescent="0.25">
      <c r="A12" s="16"/>
      <c r="B12" s="17"/>
      <c r="C12" s="28"/>
      <c r="D12" s="17"/>
      <c r="E12" s="18"/>
      <c r="F12" s="17"/>
      <c r="G12" s="18"/>
      <c r="H12" s="17"/>
      <c r="I12" s="18"/>
      <c r="J12" s="17"/>
      <c r="K12" s="18"/>
      <c r="L12" s="17"/>
      <c r="M12" s="18"/>
      <c r="N12" s="17"/>
      <c r="O12" s="29"/>
      <c r="P12" s="19"/>
      <c r="Q12" s="18"/>
      <c r="R12" s="17"/>
      <c r="S12" s="18"/>
      <c r="T12" s="17"/>
      <c r="U12" s="18"/>
      <c r="V12" s="17"/>
      <c r="W12" s="18"/>
      <c r="X12" s="17"/>
      <c r="Y12" s="32"/>
      <c r="Z12" s="17"/>
      <c r="AA12" s="32"/>
    </row>
    <row r="13" spans="1:30" s="3" customFormat="1" ht="15.75" x14ac:dyDescent="0.25">
      <c r="A13" s="10" t="s">
        <v>0</v>
      </c>
      <c r="B13" s="20">
        <f>SUM(B15+B21)</f>
        <v>58</v>
      </c>
      <c r="C13" s="34">
        <f>C15+C21</f>
        <v>637.19069999999999</v>
      </c>
      <c r="D13" s="20">
        <f>SUM(D15+D21)</f>
        <v>76</v>
      </c>
      <c r="E13" s="34">
        <f>E15+E21</f>
        <v>1093.3448100000003</v>
      </c>
      <c r="F13" s="20">
        <f>SUM(F15+F21)</f>
        <v>99</v>
      </c>
      <c r="G13" s="34">
        <f>G15+G21</f>
        <v>1615.3385499999999</v>
      </c>
      <c r="H13" s="20">
        <f>SUM(H15+H21)</f>
        <v>41</v>
      </c>
      <c r="I13" s="34">
        <f>I15+I21</f>
        <v>592.07746999999995</v>
      </c>
      <c r="J13" s="20">
        <f>SUM(J15+J21)</f>
        <v>111</v>
      </c>
      <c r="K13" s="34">
        <f>K15+K21</f>
        <v>1426.5487500000002</v>
      </c>
      <c r="L13" s="20">
        <f>SUM(L15+L21)</f>
        <v>86</v>
      </c>
      <c r="M13" s="34">
        <f>M15+M21</f>
        <v>1354.58961</v>
      </c>
      <c r="N13" s="20">
        <f>SUM(N15+N21)</f>
        <v>133</v>
      </c>
      <c r="O13" s="34">
        <f>O15+O21</f>
        <v>1948.4631999999999</v>
      </c>
      <c r="P13" s="20">
        <f>SUM(P15+P21)</f>
        <v>75</v>
      </c>
      <c r="Q13" s="34">
        <f>Q15+Q21</f>
        <v>885.50645999999983</v>
      </c>
      <c r="R13" s="20">
        <f>SUM(R15+R21)</f>
        <v>81</v>
      </c>
      <c r="S13" s="34">
        <f>S15+S21</f>
        <v>1234.31023</v>
      </c>
      <c r="T13" s="20">
        <f>SUM(T15+T21)</f>
        <v>119</v>
      </c>
      <c r="U13" s="34">
        <f>U15+U21</f>
        <v>2044.10699</v>
      </c>
      <c r="V13" s="20">
        <f>SUM(V15+V21)</f>
        <v>103</v>
      </c>
      <c r="W13" s="34">
        <f>W15+W21</f>
        <v>1453.91273</v>
      </c>
      <c r="X13" s="20">
        <f>SUM(X15+X21)</f>
        <v>43</v>
      </c>
      <c r="Y13" s="34">
        <f>Y15+Y21</f>
        <v>377.1426100000001</v>
      </c>
      <c r="Z13" s="47">
        <f>SUM(Z15+Z21)</f>
        <v>1025</v>
      </c>
      <c r="AA13" s="34">
        <f>AA15+AA21</f>
        <v>14662.53211</v>
      </c>
      <c r="AD13" s="1"/>
    </row>
    <row r="14" spans="1:30" s="3" customFormat="1" ht="15.75" x14ac:dyDescent="0.25">
      <c r="A14" s="8"/>
      <c r="B14" s="11"/>
      <c r="C14" s="35"/>
      <c r="D14" s="14"/>
      <c r="E14" s="35"/>
      <c r="F14" s="14"/>
      <c r="G14" s="35"/>
      <c r="H14" s="14"/>
      <c r="I14" s="35"/>
      <c r="J14" s="14"/>
      <c r="K14" s="35"/>
      <c r="L14" s="14"/>
      <c r="M14" s="35"/>
      <c r="N14" s="14"/>
      <c r="O14" s="35"/>
      <c r="P14" s="14"/>
      <c r="Q14" s="35"/>
      <c r="R14" s="14"/>
      <c r="S14" s="35"/>
      <c r="T14" s="14"/>
      <c r="U14" s="35"/>
      <c r="V14" s="14"/>
      <c r="W14" s="35"/>
      <c r="X14" s="14"/>
      <c r="Y14" s="35"/>
      <c r="Z14" s="14"/>
      <c r="AA14" s="35"/>
      <c r="AD14" s="1"/>
    </row>
    <row r="15" spans="1:30" s="3" customFormat="1" ht="13.5" customHeight="1" x14ac:dyDescent="0.25">
      <c r="A15" s="10" t="s">
        <v>50</v>
      </c>
      <c r="B15" s="20">
        <f>SUM(B16:B19)</f>
        <v>17</v>
      </c>
      <c r="C15" s="34">
        <f>SUM(C16:C19)</f>
        <v>211.77265999999997</v>
      </c>
      <c r="D15" s="20">
        <f t="shared" ref="D15:O15" si="0">SUM(D16:D19)</f>
        <v>12</v>
      </c>
      <c r="E15" s="34">
        <f t="shared" si="0"/>
        <v>172.04179999999999</v>
      </c>
      <c r="F15" s="20">
        <f t="shared" si="0"/>
        <v>24</v>
      </c>
      <c r="G15" s="34">
        <f t="shared" si="0"/>
        <v>334.47705000000002</v>
      </c>
      <c r="H15" s="20">
        <f t="shared" si="0"/>
        <v>11</v>
      </c>
      <c r="I15" s="34">
        <f t="shared" si="0"/>
        <v>166.67274999999998</v>
      </c>
      <c r="J15" s="20">
        <f t="shared" si="0"/>
        <v>14</v>
      </c>
      <c r="K15" s="34">
        <f t="shared" si="0"/>
        <v>207.27909</v>
      </c>
      <c r="L15" s="20">
        <f t="shared" si="0"/>
        <v>16</v>
      </c>
      <c r="M15" s="34">
        <f t="shared" si="0"/>
        <v>274.26682000000005</v>
      </c>
      <c r="N15" s="20">
        <f t="shared" si="0"/>
        <v>27</v>
      </c>
      <c r="O15" s="34">
        <f t="shared" si="0"/>
        <v>320.42654999999996</v>
      </c>
      <c r="P15" s="20">
        <f t="shared" ref="P15:AA15" si="1">SUM(P16:P19)</f>
        <v>9</v>
      </c>
      <c r="Q15" s="34">
        <f t="shared" si="1"/>
        <v>100.78963999999999</v>
      </c>
      <c r="R15" s="20">
        <f t="shared" si="1"/>
        <v>22</v>
      </c>
      <c r="S15" s="34">
        <f t="shared" si="1"/>
        <v>464.57480999999996</v>
      </c>
      <c r="T15" s="20">
        <f t="shared" si="1"/>
        <v>24</v>
      </c>
      <c r="U15" s="34">
        <f t="shared" si="1"/>
        <v>411.01107000000002</v>
      </c>
      <c r="V15" s="20">
        <f t="shared" si="1"/>
        <v>12</v>
      </c>
      <c r="W15" s="34">
        <f t="shared" si="1"/>
        <v>143.08872000000002</v>
      </c>
      <c r="X15" s="11">
        <f t="shared" si="1"/>
        <v>4</v>
      </c>
      <c r="Y15" s="34">
        <f t="shared" si="1"/>
        <v>-23.978079999999999</v>
      </c>
      <c r="Z15" s="20">
        <f t="shared" si="1"/>
        <v>192</v>
      </c>
      <c r="AA15" s="34">
        <f t="shared" si="1"/>
        <v>2782.4228799999992</v>
      </c>
    </row>
    <row r="16" spans="1:30" ht="13.5" customHeight="1" x14ac:dyDescent="0.25">
      <c r="A16" s="12" t="s">
        <v>1</v>
      </c>
      <c r="B16" s="14">
        <v>0</v>
      </c>
      <c r="C16" s="35">
        <v>0</v>
      </c>
      <c r="D16" s="14">
        <v>2</v>
      </c>
      <c r="E16" s="35">
        <f>20853.69/1000</f>
        <v>20.85369</v>
      </c>
      <c r="F16" s="14">
        <v>10</v>
      </c>
      <c r="G16" s="35">
        <f>178387.42/1000</f>
        <v>178.38742000000002</v>
      </c>
      <c r="H16" s="14">
        <v>5</v>
      </c>
      <c r="I16" s="35">
        <f>37531.07/1000</f>
        <v>37.53107</v>
      </c>
      <c r="J16" s="14">
        <v>1</v>
      </c>
      <c r="K16" s="35">
        <f>24897.3/1000</f>
        <v>24.897299999999998</v>
      </c>
      <c r="L16" s="14">
        <v>4</v>
      </c>
      <c r="M16" s="35">
        <f>73594.3/1000</f>
        <v>73.594300000000004</v>
      </c>
      <c r="N16" s="14">
        <v>6</v>
      </c>
      <c r="O16" s="35">
        <v>99.19923</v>
      </c>
      <c r="P16" s="13">
        <v>1</v>
      </c>
      <c r="Q16" s="35">
        <v>6.1032799999999998</v>
      </c>
      <c r="R16" s="13">
        <v>-1</v>
      </c>
      <c r="S16" s="35">
        <v>-5.68506</v>
      </c>
      <c r="T16" s="13">
        <v>2</v>
      </c>
      <c r="U16" s="35">
        <v>4.3357799999999997</v>
      </c>
      <c r="V16" s="13">
        <v>2</v>
      </c>
      <c r="W16" s="35">
        <v>7.7752499999999998</v>
      </c>
      <c r="X16" s="13">
        <v>0</v>
      </c>
      <c r="Y16" s="35">
        <v>43.196770000000001</v>
      </c>
      <c r="Z16" s="14">
        <f t="shared" ref="Z16:AA19" si="2">X16+V16+T16+R16+P16+N16+L16+J16+H16+F16+D16+B16</f>
        <v>32</v>
      </c>
      <c r="AA16" s="35">
        <f t="shared" si="2"/>
        <v>490.18903</v>
      </c>
    </row>
    <row r="17" spans="1:30" ht="13.5" customHeight="1" x14ac:dyDescent="0.25">
      <c r="A17" s="12" t="s">
        <v>2</v>
      </c>
      <c r="B17" s="14">
        <v>3</v>
      </c>
      <c r="C17" s="35">
        <f>34261.26/1000</f>
        <v>34.26126</v>
      </c>
      <c r="D17" s="14">
        <v>2</v>
      </c>
      <c r="E17" s="35">
        <f>33351.75/1000</f>
        <v>33.351750000000003</v>
      </c>
      <c r="F17" s="33">
        <v>8</v>
      </c>
      <c r="G17" s="37">
        <f>72457.72/1000</f>
        <v>72.457719999999995</v>
      </c>
      <c r="H17" s="14">
        <v>5</v>
      </c>
      <c r="I17" s="35">
        <f>112060.68/1000</f>
        <v>112.06067999999999</v>
      </c>
      <c r="J17" s="14">
        <v>7</v>
      </c>
      <c r="K17" s="35">
        <f>107885.81/1000</f>
        <v>107.88580999999999</v>
      </c>
      <c r="L17" s="14">
        <v>5</v>
      </c>
      <c r="M17" s="35">
        <f>71738.88/1000</f>
        <v>71.738880000000009</v>
      </c>
      <c r="N17" s="14">
        <v>5</v>
      </c>
      <c r="O17" s="35">
        <v>53.045610000000003</v>
      </c>
      <c r="P17" s="13">
        <v>3</v>
      </c>
      <c r="Q17" s="35">
        <v>34.681369999999994</v>
      </c>
      <c r="R17" s="13">
        <v>3</v>
      </c>
      <c r="S17" s="35">
        <v>61.489259999999994</v>
      </c>
      <c r="T17" s="13">
        <v>5</v>
      </c>
      <c r="U17" s="35">
        <v>86.570709999999991</v>
      </c>
      <c r="V17" s="13">
        <v>2</v>
      </c>
      <c r="W17" s="35">
        <v>26.290620000000001</v>
      </c>
      <c r="X17" s="13">
        <v>5</v>
      </c>
      <c r="Y17" s="35">
        <v>-74.636870000000002</v>
      </c>
      <c r="Z17" s="14">
        <f t="shared" si="2"/>
        <v>53</v>
      </c>
      <c r="AA17" s="35">
        <f t="shared" si="2"/>
        <v>619.19679999999994</v>
      </c>
    </row>
    <row r="18" spans="1:30" ht="13.5" customHeight="1" x14ac:dyDescent="0.25">
      <c r="A18" s="12" t="s">
        <v>3</v>
      </c>
      <c r="B18" s="14">
        <v>14</v>
      </c>
      <c r="C18" s="35">
        <f>177511.4/1000</f>
        <v>177.51139999999998</v>
      </c>
      <c r="D18" s="14">
        <v>1</v>
      </c>
      <c r="E18" s="35">
        <f>12962.74/1000</f>
        <v>12.96274</v>
      </c>
      <c r="F18" s="33">
        <v>0</v>
      </c>
      <c r="G18" s="37">
        <v>0</v>
      </c>
      <c r="H18" s="14">
        <v>0</v>
      </c>
      <c r="I18" s="35">
        <v>0</v>
      </c>
      <c r="J18" s="14">
        <v>4</v>
      </c>
      <c r="K18" s="35">
        <f>51716.72/1000</f>
        <v>51.716720000000002</v>
      </c>
      <c r="L18" s="14">
        <v>5</v>
      </c>
      <c r="M18" s="35">
        <f>105674.96/1000</f>
        <v>105.67496000000001</v>
      </c>
      <c r="N18" s="14">
        <v>13</v>
      </c>
      <c r="O18" s="35">
        <v>141.60301999999999</v>
      </c>
      <c r="P18" s="13">
        <v>3</v>
      </c>
      <c r="Q18" s="35">
        <v>46.46853999999999</v>
      </c>
      <c r="R18" s="13">
        <v>18</v>
      </c>
      <c r="S18" s="35">
        <v>361.18689000000001</v>
      </c>
      <c r="T18" s="13">
        <v>13</v>
      </c>
      <c r="U18" s="35">
        <v>251.44363000000001</v>
      </c>
      <c r="V18" s="13">
        <v>8</v>
      </c>
      <c r="W18" s="35">
        <v>109.02285000000001</v>
      </c>
      <c r="X18" s="13">
        <v>-3</v>
      </c>
      <c r="Y18" s="35">
        <v>7.4620200000000008</v>
      </c>
      <c r="Z18" s="14">
        <f t="shared" si="2"/>
        <v>76</v>
      </c>
      <c r="AA18" s="35">
        <f t="shared" si="2"/>
        <v>1265.0527699999998</v>
      </c>
    </row>
    <row r="19" spans="1:30" ht="13.5" customHeight="1" x14ac:dyDescent="0.25">
      <c r="A19" s="12" t="s">
        <v>4</v>
      </c>
      <c r="B19" s="14">
        <v>0</v>
      </c>
      <c r="C19" s="35">
        <v>0</v>
      </c>
      <c r="D19" s="14">
        <v>7</v>
      </c>
      <c r="E19" s="35">
        <f>104873.62/1000</f>
        <v>104.87361999999999</v>
      </c>
      <c r="F19" s="14">
        <v>6</v>
      </c>
      <c r="G19" s="35">
        <f>83631.91/1000</f>
        <v>83.631910000000005</v>
      </c>
      <c r="H19" s="14">
        <v>1</v>
      </c>
      <c r="I19" s="35">
        <v>17.081</v>
      </c>
      <c r="J19" s="14">
        <v>2</v>
      </c>
      <c r="K19" s="35">
        <f>22779.26/1000</f>
        <v>22.779259999999997</v>
      </c>
      <c r="L19" s="14">
        <v>2</v>
      </c>
      <c r="M19" s="35">
        <f>23258.68/1000</f>
        <v>23.258680000000002</v>
      </c>
      <c r="N19" s="14">
        <v>3</v>
      </c>
      <c r="O19" s="35">
        <v>26.578689999999998</v>
      </c>
      <c r="P19" s="13">
        <v>2</v>
      </c>
      <c r="Q19" s="35">
        <v>13.53645</v>
      </c>
      <c r="R19" s="13">
        <v>2</v>
      </c>
      <c r="S19" s="35">
        <v>47.58372</v>
      </c>
      <c r="T19" s="13">
        <v>4</v>
      </c>
      <c r="U19" s="35">
        <v>68.66095</v>
      </c>
      <c r="V19" s="13">
        <v>0</v>
      </c>
      <c r="W19" s="35">
        <v>0</v>
      </c>
      <c r="X19" s="13">
        <v>2</v>
      </c>
      <c r="Y19" s="35">
        <v>0</v>
      </c>
      <c r="Z19" s="14">
        <f t="shared" si="2"/>
        <v>31</v>
      </c>
      <c r="AA19" s="35">
        <f t="shared" si="2"/>
        <v>407.9842799999999</v>
      </c>
    </row>
    <row r="20" spans="1:30" ht="13.5" customHeight="1" x14ac:dyDescent="0.25">
      <c r="A20" s="8"/>
      <c r="B20" s="13"/>
      <c r="C20" s="35"/>
      <c r="D20" s="14"/>
      <c r="E20" s="35"/>
      <c r="F20" s="14"/>
      <c r="G20" s="35"/>
      <c r="H20" s="14"/>
      <c r="I20" s="35"/>
      <c r="J20" s="14"/>
      <c r="K20" s="35"/>
      <c r="L20" s="14"/>
      <c r="M20" s="35"/>
      <c r="N20" s="14"/>
      <c r="O20" s="35"/>
      <c r="P20" s="14"/>
      <c r="Q20" s="35"/>
      <c r="R20" s="14"/>
      <c r="S20" s="35"/>
      <c r="T20" s="14"/>
      <c r="U20" s="35"/>
      <c r="V20" s="14"/>
      <c r="W20" s="35"/>
      <c r="X20" s="14"/>
      <c r="Y20" s="35"/>
      <c r="Z20" s="14"/>
      <c r="AA20" s="35"/>
    </row>
    <row r="21" spans="1:30" s="3" customFormat="1" ht="13.5" customHeight="1" x14ac:dyDescent="0.25">
      <c r="A21" s="10" t="s">
        <v>53</v>
      </c>
      <c r="B21" s="20">
        <f t="shared" ref="B21:O21" si="3">SUM(B22:B52)</f>
        <v>41</v>
      </c>
      <c r="C21" s="34">
        <f>SUM(C22:C52)</f>
        <v>425.41804000000002</v>
      </c>
      <c r="D21" s="20">
        <f t="shared" si="3"/>
        <v>64</v>
      </c>
      <c r="E21" s="34">
        <f t="shared" si="3"/>
        <v>921.3030100000002</v>
      </c>
      <c r="F21" s="20">
        <f t="shared" si="3"/>
        <v>75</v>
      </c>
      <c r="G21" s="34">
        <f t="shared" si="3"/>
        <v>1280.8615</v>
      </c>
      <c r="H21" s="20">
        <f t="shared" si="3"/>
        <v>30</v>
      </c>
      <c r="I21" s="34">
        <f t="shared" si="3"/>
        <v>425.40472</v>
      </c>
      <c r="J21" s="20">
        <f t="shared" si="3"/>
        <v>97</v>
      </c>
      <c r="K21" s="34">
        <f t="shared" si="3"/>
        <v>1219.2696600000002</v>
      </c>
      <c r="L21" s="20">
        <f t="shared" si="3"/>
        <v>70</v>
      </c>
      <c r="M21" s="34">
        <f t="shared" si="3"/>
        <v>1080.3227899999999</v>
      </c>
      <c r="N21" s="20">
        <f t="shared" si="3"/>
        <v>106</v>
      </c>
      <c r="O21" s="34">
        <f t="shared" si="3"/>
        <v>1628.03665</v>
      </c>
      <c r="P21" s="20">
        <f>SUM(P22:P52)</f>
        <v>66</v>
      </c>
      <c r="Q21" s="34">
        <f t="shared" ref="Q21:AA21" si="4">SUM(Q22:Q52)</f>
        <v>784.71681999999987</v>
      </c>
      <c r="R21" s="20">
        <f t="shared" si="4"/>
        <v>59</v>
      </c>
      <c r="S21" s="34">
        <f t="shared" si="4"/>
        <v>769.73542000000009</v>
      </c>
      <c r="T21" s="20">
        <f t="shared" si="4"/>
        <v>95</v>
      </c>
      <c r="U21" s="34">
        <f t="shared" si="4"/>
        <v>1633.09592</v>
      </c>
      <c r="V21" s="20">
        <f t="shared" si="4"/>
        <v>91</v>
      </c>
      <c r="W21" s="34">
        <f t="shared" si="4"/>
        <v>1310.82401</v>
      </c>
      <c r="X21" s="20">
        <f t="shared" si="4"/>
        <v>39</v>
      </c>
      <c r="Y21" s="34">
        <f t="shared" si="4"/>
        <v>401.12069000000008</v>
      </c>
      <c r="Z21" s="20">
        <f t="shared" si="4"/>
        <v>833</v>
      </c>
      <c r="AA21" s="34">
        <f t="shared" si="4"/>
        <v>11880.109230000002</v>
      </c>
      <c r="AC21" s="35"/>
      <c r="AD21" s="1"/>
    </row>
    <row r="22" spans="1:30" ht="13.5" customHeight="1" x14ac:dyDescent="0.25">
      <c r="A22" s="12" t="s">
        <v>5</v>
      </c>
      <c r="B22" s="14">
        <v>3</v>
      </c>
      <c r="C22" s="35">
        <f>38480.88/1000</f>
        <v>38.480879999999999</v>
      </c>
      <c r="D22" s="14">
        <v>4</v>
      </c>
      <c r="E22" s="35">
        <f>68698.42/1000</f>
        <v>68.698419999999999</v>
      </c>
      <c r="F22" s="14">
        <v>5</v>
      </c>
      <c r="G22" s="35">
        <f>98476.63/1000</f>
        <v>98.47663</v>
      </c>
      <c r="H22" s="14">
        <v>3</v>
      </c>
      <c r="I22" s="35">
        <f>30160.52/1000</f>
        <v>30.160520000000002</v>
      </c>
      <c r="J22" s="14">
        <v>8</v>
      </c>
      <c r="K22" s="35">
        <f>69956.02/1000</f>
        <v>69.956020000000009</v>
      </c>
      <c r="L22" s="14">
        <v>5</v>
      </c>
      <c r="M22" s="35">
        <v>67.360309999999998</v>
      </c>
      <c r="N22" s="14">
        <v>5</v>
      </c>
      <c r="O22" s="35">
        <v>26.406449999999996</v>
      </c>
      <c r="P22" s="14">
        <v>4</v>
      </c>
      <c r="Q22" s="35">
        <v>30.26634</v>
      </c>
      <c r="R22" s="14">
        <v>2</v>
      </c>
      <c r="S22" s="35">
        <v>5.1361099999999995</v>
      </c>
      <c r="T22" s="14">
        <v>1</v>
      </c>
      <c r="U22" s="35">
        <v>1.66188</v>
      </c>
      <c r="V22" s="14">
        <v>0</v>
      </c>
      <c r="W22" s="35">
        <v>0</v>
      </c>
      <c r="X22" s="14">
        <v>3</v>
      </c>
      <c r="Y22" s="35">
        <v>53.076599999999999</v>
      </c>
      <c r="Z22" s="14">
        <f t="shared" ref="Z22:Z52" si="5">X22+V22+T22+R22+P22+N22+L22+J22+H22+F22+D22+B22</f>
        <v>43</v>
      </c>
      <c r="AA22" s="35">
        <f t="shared" ref="AA22:AA52" si="6">Y22+W22+U22+S22+Q22+O22+M22+K22+I22+G22+E22+C22</f>
        <v>489.68016000000006</v>
      </c>
      <c r="AC22" s="35"/>
    </row>
    <row r="23" spans="1:30" ht="13.5" customHeight="1" x14ac:dyDescent="0.25">
      <c r="A23" s="12" t="s">
        <v>6</v>
      </c>
      <c r="B23" s="14">
        <v>0</v>
      </c>
      <c r="C23" s="35">
        <v>0</v>
      </c>
      <c r="D23" s="14">
        <v>6</v>
      </c>
      <c r="E23" s="35">
        <f>92447.45/1000</f>
        <v>92.447450000000003</v>
      </c>
      <c r="F23" s="14">
        <v>4</v>
      </c>
      <c r="G23" s="35">
        <f>32027.1/1000</f>
        <v>32.027099999999997</v>
      </c>
      <c r="H23" s="14">
        <v>1</v>
      </c>
      <c r="I23" s="35">
        <f>8254.45/1000</f>
        <v>8.2544500000000003</v>
      </c>
      <c r="J23" s="14">
        <v>11</v>
      </c>
      <c r="K23" s="35">
        <f>129005.17/1000</f>
        <v>129.00516999999999</v>
      </c>
      <c r="L23" s="14">
        <v>12</v>
      </c>
      <c r="M23" s="35">
        <v>143.26958999999999</v>
      </c>
      <c r="N23" s="14">
        <v>11</v>
      </c>
      <c r="O23" s="35">
        <v>287.14451000000003</v>
      </c>
      <c r="P23" s="14">
        <v>7</v>
      </c>
      <c r="Q23" s="35">
        <v>48.848370000000003</v>
      </c>
      <c r="R23" s="14">
        <v>9</v>
      </c>
      <c r="S23" s="35">
        <v>88.26867</v>
      </c>
      <c r="T23" s="14">
        <v>14</v>
      </c>
      <c r="U23" s="35">
        <v>158.51888</v>
      </c>
      <c r="V23" s="14">
        <v>10</v>
      </c>
      <c r="W23" s="35">
        <v>107.27293</v>
      </c>
      <c r="X23" s="14">
        <v>4</v>
      </c>
      <c r="Y23" s="35">
        <v>23.00628</v>
      </c>
      <c r="Z23" s="14">
        <f t="shared" si="5"/>
        <v>89</v>
      </c>
      <c r="AA23" s="35">
        <f t="shared" si="6"/>
        <v>1118.0634</v>
      </c>
      <c r="AC23" s="35"/>
    </row>
    <row r="24" spans="1:30" ht="13.5" customHeight="1" x14ac:dyDescent="0.25">
      <c r="A24" s="12" t="s">
        <v>7</v>
      </c>
      <c r="B24" s="14">
        <v>1</v>
      </c>
      <c r="C24" s="35">
        <v>7.3579999999999997</v>
      </c>
      <c r="D24" s="14">
        <v>0</v>
      </c>
      <c r="E24" s="35">
        <v>0</v>
      </c>
      <c r="F24" s="14">
        <v>1</v>
      </c>
      <c r="G24" s="35">
        <f>70879.68/1000</f>
        <v>70.879679999999993</v>
      </c>
      <c r="H24" s="14">
        <v>0</v>
      </c>
      <c r="I24" s="35">
        <v>0</v>
      </c>
      <c r="J24" s="33">
        <v>0</v>
      </c>
      <c r="K24" s="37">
        <v>0</v>
      </c>
      <c r="L24" s="14">
        <v>0</v>
      </c>
      <c r="M24" s="35">
        <v>0</v>
      </c>
      <c r="N24" s="14">
        <v>0</v>
      </c>
      <c r="O24" s="35">
        <v>0</v>
      </c>
      <c r="P24" s="14">
        <v>0</v>
      </c>
      <c r="Q24" s="35">
        <v>0</v>
      </c>
      <c r="R24" s="14">
        <v>0</v>
      </c>
      <c r="S24" s="35">
        <v>0</v>
      </c>
      <c r="T24" s="14">
        <v>0</v>
      </c>
      <c r="U24" s="35">
        <v>0</v>
      </c>
      <c r="V24" s="14">
        <v>1</v>
      </c>
      <c r="W24" s="35">
        <v>7.4496000000000002</v>
      </c>
      <c r="X24" s="14">
        <v>0</v>
      </c>
      <c r="Y24" s="35">
        <v>0</v>
      </c>
      <c r="Z24" s="14">
        <f t="shared" si="5"/>
        <v>3</v>
      </c>
      <c r="AA24" s="35">
        <f t="shared" si="6"/>
        <v>85.687280000000001</v>
      </c>
      <c r="AC24" s="35"/>
    </row>
    <row r="25" spans="1:30" ht="13.5" customHeight="1" x14ac:dyDescent="0.25">
      <c r="A25" s="12" t="s">
        <v>8</v>
      </c>
      <c r="B25" s="14">
        <v>5</v>
      </c>
      <c r="C25" s="35">
        <f>16478.18/1000</f>
        <v>16.478180000000002</v>
      </c>
      <c r="D25" s="14">
        <v>1</v>
      </c>
      <c r="E25" s="35">
        <f>14591.59/1000</f>
        <v>14.59159</v>
      </c>
      <c r="F25" s="14">
        <v>0</v>
      </c>
      <c r="G25" s="35">
        <v>0</v>
      </c>
      <c r="H25" s="14">
        <v>0</v>
      </c>
      <c r="I25" s="35">
        <v>0</v>
      </c>
      <c r="J25" s="14">
        <v>0</v>
      </c>
      <c r="K25" s="35">
        <v>0</v>
      </c>
      <c r="L25" s="14">
        <v>1</v>
      </c>
      <c r="M25" s="35">
        <v>2.60148</v>
      </c>
      <c r="N25" s="14">
        <v>0</v>
      </c>
      <c r="O25" s="35">
        <v>0</v>
      </c>
      <c r="P25" s="14">
        <v>0</v>
      </c>
      <c r="Q25" s="35">
        <v>0</v>
      </c>
      <c r="R25" s="14">
        <v>0</v>
      </c>
      <c r="S25" s="35">
        <v>0</v>
      </c>
      <c r="T25" s="14">
        <v>0</v>
      </c>
      <c r="U25" s="35">
        <v>0</v>
      </c>
      <c r="V25" s="14">
        <v>0</v>
      </c>
      <c r="W25" s="35">
        <v>0</v>
      </c>
      <c r="X25" s="14">
        <v>0</v>
      </c>
      <c r="Y25" s="35">
        <v>0</v>
      </c>
      <c r="Z25" s="14">
        <f t="shared" si="5"/>
        <v>7</v>
      </c>
      <c r="AA25" s="35">
        <f t="shared" si="6"/>
        <v>33.671250000000001</v>
      </c>
    </row>
    <row r="26" spans="1:30" ht="13.5" customHeight="1" x14ac:dyDescent="0.25">
      <c r="A26" s="12" t="s">
        <v>9</v>
      </c>
      <c r="B26" s="14">
        <v>0</v>
      </c>
      <c r="C26" s="35">
        <v>0</v>
      </c>
      <c r="D26" s="14">
        <v>10</v>
      </c>
      <c r="E26" s="35">
        <f>118257.1/1000</f>
        <v>118.25710000000001</v>
      </c>
      <c r="F26" s="14">
        <v>9</v>
      </c>
      <c r="G26" s="35">
        <f>76767.64/1000</f>
        <v>76.76764</v>
      </c>
      <c r="H26" s="14">
        <v>7</v>
      </c>
      <c r="I26" s="35">
        <f>42769.44/1000</f>
        <v>42.769440000000003</v>
      </c>
      <c r="J26" s="14">
        <v>10</v>
      </c>
      <c r="K26" s="35">
        <f>94087.29/1000</f>
        <v>94.087289999999996</v>
      </c>
      <c r="L26" s="14">
        <v>5</v>
      </c>
      <c r="M26" s="35">
        <v>28.796879999999998</v>
      </c>
      <c r="N26" s="14">
        <v>7</v>
      </c>
      <c r="O26" s="35">
        <v>106.92248000000001</v>
      </c>
      <c r="P26" s="14">
        <v>4</v>
      </c>
      <c r="Q26" s="35">
        <v>14.82568</v>
      </c>
      <c r="R26" s="14">
        <v>9</v>
      </c>
      <c r="S26" s="35">
        <v>140.06576000000001</v>
      </c>
      <c r="T26" s="14">
        <v>10</v>
      </c>
      <c r="U26" s="35">
        <v>128.64318999999998</v>
      </c>
      <c r="V26" s="14">
        <v>15</v>
      </c>
      <c r="W26" s="35">
        <v>198.71042</v>
      </c>
      <c r="X26" s="14">
        <v>5</v>
      </c>
      <c r="Y26" s="35">
        <v>28.23338</v>
      </c>
      <c r="Z26" s="14">
        <f t="shared" si="5"/>
        <v>91</v>
      </c>
      <c r="AA26" s="35">
        <f t="shared" si="6"/>
        <v>978.0792600000002</v>
      </c>
    </row>
    <row r="27" spans="1:30" ht="13.5" customHeight="1" x14ac:dyDescent="0.25">
      <c r="A27" s="12" t="s">
        <v>10</v>
      </c>
      <c r="B27" s="14">
        <v>0</v>
      </c>
      <c r="C27" s="35">
        <v>0</v>
      </c>
      <c r="D27" s="14">
        <v>1</v>
      </c>
      <c r="E27" s="35">
        <f>3228.33/1000</f>
        <v>3.2283300000000001</v>
      </c>
      <c r="F27" s="14">
        <v>1</v>
      </c>
      <c r="G27" s="35">
        <f>339.75/1000</f>
        <v>0.33975</v>
      </c>
      <c r="H27" s="14">
        <v>0</v>
      </c>
      <c r="I27" s="35">
        <v>0</v>
      </c>
      <c r="J27" s="14">
        <v>4</v>
      </c>
      <c r="K27" s="35">
        <f>51630.38/1000</f>
        <v>51.630379999999995</v>
      </c>
      <c r="L27" s="14">
        <v>1</v>
      </c>
      <c r="M27" s="35">
        <v>7.8010799999999998</v>
      </c>
      <c r="N27" s="14">
        <v>3</v>
      </c>
      <c r="O27" s="35">
        <v>86.237279999999998</v>
      </c>
      <c r="P27" s="14">
        <v>2</v>
      </c>
      <c r="Q27" s="35">
        <v>11.035080000000001</v>
      </c>
      <c r="R27" s="14">
        <v>2</v>
      </c>
      <c r="S27" s="35">
        <v>6.468</v>
      </c>
      <c r="T27" s="14">
        <v>3</v>
      </c>
      <c r="U27" s="35">
        <v>26.169029999999999</v>
      </c>
      <c r="V27" s="14">
        <v>2</v>
      </c>
      <c r="W27" s="35">
        <v>7.3089700000000004</v>
      </c>
      <c r="X27" s="14">
        <v>0</v>
      </c>
      <c r="Y27" s="35">
        <v>0</v>
      </c>
      <c r="Z27" s="14">
        <f t="shared" si="5"/>
        <v>19</v>
      </c>
      <c r="AA27" s="35">
        <f t="shared" si="6"/>
        <v>200.21790000000001</v>
      </c>
    </row>
    <row r="28" spans="1:30" ht="13.5" customHeight="1" x14ac:dyDescent="0.25">
      <c r="A28" s="12" t="s">
        <v>11</v>
      </c>
      <c r="B28" s="14">
        <v>0</v>
      </c>
      <c r="C28" s="35">
        <v>0</v>
      </c>
      <c r="D28" s="14">
        <v>0</v>
      </c>
      <c r="E28" s="35">
        <v>0</v>
      </c>
      <c r="F28" s="14">
        <v>0</v>
      </c>
      <c r="G28" s="35">
        <v>0</v>
      </c>
      <c r="H28" s="14">
        <v>0</v>
      </c>
      <c r="I28" s="35">
        <v>0</v>
      </c>
      <c r="J28" s="14">
        <v>1</v>
      </c>
      <c r="K28" s="35">
        <f>3279.69/1000</f>
        <v>3.27969</v>
      </c>
      <c r="L28" s="14">
        <v>-1</v>
      </c>
      <c r="M28" s="35">
        <v>-3.27969</v>
      </c>
      <c r="N28" s="14">
        <v>4</v>
      </c>
      <c r="O28" s="35">
        <v>65.808210000000003</v>
      </c>
      <c r="P28" s="14">
        <v>0</v>
      </c>
      <c r="Q28" s="35">
        <v>0</v>
      </c>
      <c r="R28" s="14">
        <v>1</v>
      </c>
      <c r="S28" s="35">
        <v>19.470880000000001</v>
      </c>
      <c r="T28" s="14">
        <v>1</v>
      </c>
      <c r="U28" s="35">
        <v>20.859810000000003</v>
      </c>
      <c r="V28" s="14">
        <v>0</v>
      </c>
      <c r="W28" s="35">
        <v>0</v>
      </c>
      <c r="X28" s="14">
        <v>0</v>
      </c>
      <c r="Y28" s="35">
        <v>0</v>
      </c>
      <c r="Z28" s="14">
        <f t="shared" si="5"/>
        <v>6</v>
      </c>
      <c r="AA28" s="35">
        <f t="shared" si="6"/>
        <v>106.13890000000001</v>
      </c>
    </row>
    <row r="29" spans="1:30" ht="13.5" customHeight="1" x14ac:dyDescent="0.25">
      <c r="A29" s="12" t="s">
        <v>12</v>
      </c>
      <c r="B29" s="14">
        <v>0</v>
      </c>
      <c r="C29" s="35">
        <v>0</v>
      </c>
      <c r="D29" s="14">
        <v>5</v>
      </c>
      <c r="E29" s="35">
        <f>117869.32/1000</f>
        <v>117.86932</v>
      </c>
      <c r="F29" s="14">
        <v>2</v>
      </c>
      <c r="G29" s="35">
        <f>15174.29/1000</f>
        <v>15.174290000000001</v>
      </c>
      <c r="H29" s="14">
        <v>0</v>
      </c>
      <c r="I29" s="35">
        <v>0</v>
      </c>
      <c r="J29" s="14">
        <v>6</v>
      </c>
      <c r="K29" s="35">
        <f>51405.39/1000</f>
        <v>51.405389999999997</v>
      </c>
      <c r="L29" s="14">
        <v>0</v>
      </c>
      <c r="M29" s="35">
        <v>0</v>
      </c>
      <c r="N29" s="14">
        <v>10</v>
      </c>
      <c r="O29" s="35">
        <v>178.06325000000001</v>
      </c>
      <c r="P29" s="14">
        <v>0</v>
      </c>
      <c r="Q29" s="35">
        <v>0</v>
      </c>
      <c r="R29" s="14">
        <v>0</v>
      </c>
      <c r="S29" s="35">
        <v>0</v>
      </c>
      <c r="T29" s="14">
        <v>15</v>
      </c>
      <c r="U29" s="35">
        <v>252.87603999999999</v>
      </c>
      <c r="V29" s="14">
        <v>11</v>
      </c>
      <c r="W29" s="35">
        <v>320.95822999999996</v>
      </c>
      <c r="X29" s="14">
        <v>6</v>
      </c>
      <c r="Y29" s="35">
        <v>120.88200000000001</v>
      </c>
      <c r="Z29" s="14">
        <f t="shared" si="5"/>
        <v>55</v>
      </c>
      <c r="AA29" s="35">
        <f t="shared" si="6"/>
        <v>1057.2285199999999</v>
      </c>
    </row>
    <row r="30" spans="1:30" ht="13.5" customHeight="1" x14ac:dyDescent="0.25">
      <c r="A30" s="12" t="s">
        <v>13</v>
      </c>
      <c r="B30" s="14">
        <v>0</v>
      </c>
      <c r="C30" s="35">
        <v>0</v>
      </c>
      <c r="D30" s="14">
        <v>0</v>
      </c>
      <c r="E30" s="35">
        <v>0</v>
      </c>
      <c r="F30" s="14">
        <v>0</v>
      </c>
      <c r="G30" s="35">
        <v>0</v>
      </c>
      <c r="H30" s="14">
        <v>1</v>
      </c>
      <c r="I30" s="35">
        <f>125654/1000</f>
        <v>125.654</v>
      </c>
      <c r="J30" s="14">
        <v>0</v>
      </c>
      <c r="K30" s="35">
        <v>0</v>
      </c>
      <c r="L30" s="14">
        <v>0</v>
      </c>
      <c r="M30" s="35">
        <v>0</v>
      </c>
      <c r="N30" s="14">
        <v>2</v>
      </c>
      <c r="O30" s="35">
        <v>35.983400000000003</v>
      </c>
      <c r="P30" s="14">
        <v>0</v>
      </c>
      <c r="Q30" s="35">
        <v>0</v>
      </c>
      <c r="R30" s="14">
        <v>0</v>
      </c>
      <c r="S30" s="35">
        <v>0</v>
      </c>
      <c r="T30" s="14">
        <v>0</v>
      </c>
      <c r="U30" s="35">
        <v>0</v>
      </c>
      <c r="V30" s="14">
        <v>3</v>
      </c>
      <c r="W30" s="35">
        <v>73.653040000000004</v>
      </c>
      <c r="X30" s="14">
        <v>0</v>
      </c>
      <c r="Y30" s="35">
        <v>0</v>
      </c>
      <c r="Z30" s="14">
        <f t="shared" si="5"/>
        <v>6</v>
      </c>
      <c r="AA30" s="35">
        <f t="shared" si="6"/>
        <v>235.29043999999999</v>
      </c>
    </row>
    <row r="31" spans="1:30" ht="13.5" customHeight="1" x14ac:dyDescent="0.25">
      <c r="A31" s="12" t="s">
        <v>14</v>
      </c>
      <c r="B31" s="14">
        <v>3</v>
      </c>
      <c r="C31" s="35">
        <f>20084.02/1000</f>
        <v>20.084019999999999</v>
      </c>
      <c r="D31" s="14">
        <v>7</v>
      </c>
      <c r="E31" s="35">
        <f>111406.16/1000</f>
        <v>111.40616</v>
      </c>
      <c r="F31" s="14">
        <v>5</v>
      </c>
      <c r="G31" s="35">
        <f>62831.04/1000</f>
        <v>62.831040000000002</v>
      </c>
      <c r="H31" s="14">
        <v>2</v>
      </c>
      <c r="I31" s="35">
        <f>41187.22/1000</f>
        <v>41.187220000000003</v>
      </c>
      <c r="J31" s="14">
        <v>2</v>
      </c>
      <c r="K31" s="35">
        <f>40194.24/1000</f>
        <v>40.194240000000001</v>
      </c>
      <c r="L31" s="14">
        <v>0</v>
      </c>
      <c r="M31" s="35">
        <v>0</v>
      </c>
      <c r="N31" s="14">
        <v>5</v>
      </c>
      <c r="O31" s="35">
        <v>71.865070000000003</v>
      </c>
      <c r="P31" s="14">
        <v>5</v>
      </c>
      <c r="Q31" s="35">
        <v>82.229550000000003</v>
      </c>
      <c r="R31" s="14">
        <v>1</v>
      </c>
      <c r="S31" s="35">
        <v>6.3846400000000001</v>
      </c>
      <c r="T31" s="14">
        <v>1</v>
      </c>
      <c r="U31" s="35">
        <v>8.9629799999999999</v>
      </c>
      <c r="V31" s="14">
        <v>4</v>
      </c>
      <c r="W31" s="35">
        <v>69.607690000000005</v>
      </c>
      <c r="X31" s="14">
        <v>0</v>
      </c>
      <c r="Y31" s="35">
        <v>0</v>
      </c>
      <c r="Z31" s="14">
        <f t="shared" si="5"/>
        <v>35</v>
      </c>
      <c r="AA31" s="35">
        <f t="shared" si="6"/>
        <v>514.75261</v>
      </c>
    </row>
    <row r="32" spans="1:30" ht="13.5" customHeight="1" x14ac:dyDescent="0.25">
      <c r="A32" s="12" t="s">
        <v>15</v>
      </c>
      <c r="B32" s="14">
        <v>0</v>
      </c>
      <c r="C32" s="35">
        <v>0</v>
      </c>
      <c r="D32" s="14">
        <v>0</v>
      </c>
      <c r="E32" s="35">
        <v>0</v>
      </c>
      <c r="F32" s="14">
        <v>0</v>
      </c>
      <c r="G32" s="35">
        <v>0</v>
      </c>
      <c r="H32" s="14">
        <v>0</v>
      </c>
      <c r="I32" s="35">
        <v>0</v>
      </c>
      <c r="J32" s="14">
        <v>0</v>
      </c>
      <c r="K32" s="35">
        <v>0</v>
      </c>
      <c r="L32" s="14">
        <v>0</v>
      </c>
      <c r="M32" s="35">
        <v>0</v>
      </c>
      <c r="N32" s="14">
        <v>0</v>
      </c>
      <c r="O32" s="35">
        <v>0</v>
      </c>
      <c r="P32" s="14">
        <v>0</v>
      </c>
      <c r="Q32" s="35">
        <v>0</v>
      </c>
      <c r="R32" s="14">
        <v>0</v>
      </c>
      <c r="S32" s="35">
        <v>0</v>
      </c>
      <c r="T32" s="14">
        <v>0</v>
      </c>
      <c r="U32" s="35">
        <v>0</v>
      </c>
      <c r="V32" s="14">
        <v>0</v>
      </c>
      <c r="W32" s="35">
        <v>0</v>
      </c>
      <c r="X32" s="22">
        <v>0</v>
      </c>
      <c r="Y32" s="35">
        <v>0</v>
      </c>
      <c r="Z32" s="14">
        <f t="shared" si="5"/>
        <v>0</v>
      </c>
      <c r="AA32" s="35">
        <f t="shared" si="6"/>
        <v>0</v>
      </c>
    </row>
    <row r="33" spans="1:27" ht="13.5" customHeight="1" x14ac:dyDescent="0.25">
      <c r="A33" s="12" t="s">
        <v>16</v>
      </c>
      <c r="B33" s="14">
        <v>1</v>
      </c>
      <c r="C33" s="35">
        <f>3882.73/1000</f>
        <v>3.88273</v>
      </c>
      <c r="D33" s="14">
        <v>1</v>
      </c>
      <c r="E33" s="35">
        <f>4413.33/1000</f>
        <v>4.4133300000000002</v>
      </c>
      <c r="F33" s="14">
        <v>1</v>
      </c>
      <c r="G33" s="35">
        <v>4.3520000000000003</v>
      </c>
      <c r="H33" s="14">
        <v>1</v>
      </c>
      <c r="I33" s="35">
        <f>25343.26/1000</f>
        <v>25.343259999999997</v>
      </c>
      <c r="J33" s="14">
        <v>2</v>
      </c>
      <c r="K33" s="35">
        <f>46769.04/1000</f>
        <v>46.769040000000004</v>
      </c>
      <c r="L33" s="14">
        <v>3</v>
      </c>
      <c r="M33" s="35">
        <v>39.813530000000007</v>
      </c>
      <c r="N33" s="14">
        <v>3</v>
      </c>
      <c r="O33" s="35">
        <v>39.880679999999998</v>
      </c>
      <c r="P33" s="14">
        <v>0</v>
      </c>
      <c r="Q33" s="35">
        <v>0</v>
      </c>
      <c r="R33" s="14">
        <v>0</v>
      </c>
      <c r="S33" s="35">
        <v>0</v>
      </c>
      <c r="T33" s="14">
        <v>0</v>
      </c>
      <c r="U33" s="35">
        <v>0</v>
      </c>
      <c r="V33" s="14">
        <v>0</v>
      </c>
      <c r="W33" s="35">
        <v>0</v>
      </c>
      <c r="X33" s="14">
        <v>1</v>
      </c>
      <c r="Y33" s="35">
        <v>4.8497599999999998</v>
      </c>
      <c r="Z33" s="14">
        <f t="shared" si="5"/>
        <v>13</v>
      </c>
      <c r="AA33" s="35">
        <f t="shared" si="6"/>
        <v>169.30433000000002</v>
      </c>
    </row>
    <row r="34" spans="1:27" ht="13.5" customHeight="1" x14ac:dyDescent="0.25">
      <c r="A34" s="12" t="s">
        <v>17</v>
      </c>
      <c r="B34" s="14">
        <v>0</v>
      </c>
      <c r="C34" s="35">
        <v>0</v>
      </c>
      <c r="D34" s="14">
        <v>3</v>
      </c>
      <c r="E34" s="35">
        <f>62425.33/1000</f>
        <v>62.425330000000002</v>
      </c>
      <c r="F34" s="14">
        <v>1</v>
      </c>
      <c r="G34" s="35">
        <f>51806.4/1000</f>
        <v>51.806400000000004</v>
      </c>
      <c r="H34" s="14">
        <v>0</v>
      </c>
      <c r="I34" s="35">
        <v>0</v>
      </c>
      <c r="J34" s="14">
        <v>9</v>
      </c>
      <c r="K34" s="35">
        <f>248033.52/1000</f>
        <v>248.03351999999998</v>
      </c>
      <c r="L34" s="14">
        <v>4</v>
      </c>
      <c r="M34" s="35">
        <v>47.767900000000004</v>
      </c>
      <c r="N34" s="14">
        <v>0</v>
      </c>
      <c r="O34" s="35">
        <v>0</v>
      </c>
      <c r="P34" s="33">
        <v>3</v>
      </c>
      <c r="Q34" s="37">
        <v>43.834769999999999</v>
      </c>
      <c r="R34" s="14">
        <v>6</v>
      </c>
      <c r="S34" s="35">
        <v>71.89913</v>
      </c>
      <c r="T34" s="14">
        <v>3</v>
      </c>
      <c r="U34" s="35">
        <v>78.35620999999999</v>
      </c>
      <c r="V34" s="14">
        <v>0</v>
      </c>
      <c r="W34" s="35">
        <v>0</v>
      </c>
      <c r="X34" s="14">
        <v>3</v>
      </c>
      <c r="Y34" s="35">
        <v>17.533580000000001</v>
      </c>
      <c r="Z34" s="14">
        <f t="shared" si="5"/>
        <v>32</v>
      </c>
      <c r="AA34" s="35">
        <f t="shared" si="6"/>
        <v>621.6568400000001</v>
      </c>
    </row>
    <row r="35" spans="1:27" ht="13.5" customHeight="1" x14ac:dyDescent="0.25">
      <c r="A35" s="12" t="s">
        <v>18</v>
      </c>
      <c r="B35" s="14">
        <v>17</v>
      </c>
      <c r="C35" s="35">
        <f>225193.27/1000</f>
        <v>225.19326999999998</v>
      </c>
      <c r="D35" s="14">
        <v>4</v>
      </c>
      <c r="E35" s="35">
        <f>48590.54/1000</f>
        <v>48.590540000000004</v>
      </c>
      <c r="F35" s="14">
        <v>9</v>
      </c>
      <c r="G35" s="35">
        <f>270577.86/1000</f>
        <v>270.57785999999999</v>
      </c>
      <c r="H35" s="14">
        <v>0</v>
      </c>
      <c r="I35" s="35">
        <v>0</v>
      </c>
      <c r="J35" s="14">
        <v>1</v>
      </c>
      <c r="K35" s="35">
        <f>14756.43/1000</f>
        <v>14.75643</v>
      </c>
      <c r="L35" s="14">
        <v>1</v>
      </c>
      <c r="M35" s="35">
        <v>9.62744</v>
      </c>
      <c r="N35" s="14">
        <v>15</v>
      </c>
      <c r="O35" s="35">
        <v>282.47600999999997</v>
      </c>
      <c r="P35" s="14">
        <v>14</v>
      </c>
      <c r="Q35" s="35">
        <v>200.65437</v>
      </c>
      <c r="R35" s="14">
        <v>3</v>
      </c>
      <c r="S35" s="35">
        <v>26.472390000000001</v>
      </c>
      <c r="T35" s="14">
        <v>4</v>
      </c>
      <c r="U35" s="35">
        <v>107.09362999999999</v>
      </c>
      <c r="V35" s="14">
        <v>9</v>
      </c>
      <c r="W35" s="35">
        <v>135.86171999999999</v>
      </c>
      <c r="X35" s="22">
        <v>6</v>
      </c>
      <c r="Y35" s="35">
        <v>58.688490000000009</v>
      </c>
      <c r="Z35" s="14">
        <f t="shared" si="5"/>
        <v>83</v>
      </c>
      <c r="AA35" s="35">
        <f t="shared" si="6"/>
        <v>1379.9921499999998</v>
      </c>
    </row>
    <row r="36" spans="1:27" ht="13.5" customHeight="1" x14ac:dyDescent="0.25">
      <c r="A36" s="12" t="s">
        <v>19</v>
      </c>
      <c r="B36" s="14">
        <v>0</v>
      </c>
      <c r="C36" s="35">
        <v>0</v>
      </c>
      <c r="D36" s="14">
        <v>0</v>
      </c>
      <c r="E36" s="35">
        <v>0</v>
      </c>
      <c r="F36" s="14">
        <v>1</v>
      </c>
      <c r="G36" s="35">
        <v>21.047000000000001</v>
      </c>
      <c r="H36" s="14">
        <v>2</v>
      </c>
      <c r="I36" s="35">
        <f>30362.35/1000</f>
        <v>30.362349999999999</v>
      </c>
      <c r="J36" s="14">
        <v>0</v>
      </c>
      <c r="K36" s="35">
        <v>0</v>
      </c>
      <c r="L36" s="14">
        <v>0</v>
      </c>
      <c r="M36" s="35">
        <v>0</v>
      </c>
      <c r="N36" s="14">
        <v>0</v>
      </c>
      <c r="O36" s="35">
        <v>0</v>
      </c>
      <c r="P36" s="14">
        <v>1</v>
      </c>
      <c r="Q36" s="35">
        <v>8.5655000000000001</v>
      </c>
      <c r="R36" s="14">
        <v>1</v>
      </c>
      <c r="S36" s="35">
        <v>8.5634999999999994</v>
      </c>
      <c r="T36" s="14">
        <v>1</v>
      </c>
      <c r="U36" s="35">
        <v>2.3041799999999997</v>
      </c>
      <c r="V36" s="14">
        <v>0</v>
      </c>
      <c r="W36" s="35">
        <v>0</v>
      </c>
      <c r="X36" s="14">
        <v>0</v>
      </c>
      <c r="Y36" s="35">
        <v>0</v>
      </c>
      <c r="Z36" s="14">
        <f t="shared" si="5"/>
        <v>6</v>
      </c>
      <c r="AA36" s="35">
        <f t="shared" si="6"/>
        <v>70.842529999999996</v>
      </c>
    </row>
    <row r="37" spans="1:27" ht="13.5" customHeight="1" x14ac:dyDescent="0.25">
      <c r="A37" s="12" t="s">
        <v>20</v>
      </c>
      <c r="B37" s="14">
        <v>3</v>
      </c>
      <c r="C37" s="35">
        <f>71965.68/1000</f>
        <v>71.965679999999992</v>
      </c>
      <c r="D37" s="14">
        <v>1</v>
      </c>
      <c r="E37" s="35">
        <f>2756.76/1000</f>
        <v>2.7567600000000003</v>
      </c>
      <c r="F37" s="14">
        <v>3</v>
      </c>
      <c r="G37" s="35">
        <f>106874.54/1000</f>
        <v>106.87454</v>
      </c>
      <c r="H37" s="14">
        <v>2</v>
      </c>
      <c r="I37" s="35">
        <f>33463.17/1000</f>
        <v>33.463169999999998</v>
      </c>
      <c r="J37" s="14">
        <v>2</v>
      </c>
      <c r="K37" s="35">
        <f>8929.05/1000</f>
        <v>8.9290500000000002</v>
      </c>
      <c r="L37" s="14">
        <v>4</v>
      </c>
      <c r="M37" s="35">
        <v>31.156479999999995</v>
      </c>
      <c r="N37" s="14">
        <v>1</v>
      </c>
      <c r="O37" s="35">
        <v>2.7563200000000001</v>
      </c>
      <c r="P37" s="14">
        <v>1</v>
      </c>
      <c r="Q37" s="35">
        <v>7.7884799999999998</v>
      </c>
      <c r="R37" s="14">
        <v>9</v>
      </c>
      <c r="S37" s="35">
        <v>113.30254000000001</v>
      </c>
      <c r="T37" s="14">
        <v>8</v>
      </c>
      <c r="U37" s="35">
        <v>212.43407000000002</v>
      </c>
      <c r="V37" s="14">
        <v>4</v>
      </c>
      <c r="W37" s="35">
        <v>55.998179999999998</v>
      </c>
      <c r="X37" s="14">
        <v>5</v>
      </c>
      <c r="Y37" s="35">
        <v>39.958309999999997</v>
      </c>
      <c r="Z37" s="14">
        <f t="shared" si="5"/>
        <v>43</v>
      </c>
      <c r="AA37" s="35">
        <f t="shared" si="6"/>
        <v>687.38358000000005</v>
      </c>
    </row>
    <row r="38" spans="1:27" ht="13.5" customHeight="1" x14ac:dyDescent="0.25">
      <c r="A38" s="12" t="s">
        <v>21</v>
      </c>
      <c r="B38" s="14">
        <v>0</v>
      </c>
      <c r="C38" s="35">
        <v>0</v>
      </c>
      <c r="D38" s="14">
        <v>0</v>
      </c>
      <c r="E38" s="35">
        <v>0</v>
      </c>
      <c r="F38" s="14">
        <v>2</v>
      </c>
      <c r="G38" s="35">
        <f>22166.93/1000</f>
        <v>22.166930000000001</v>
      </c>
      <c r="H38" s="14">
        <v>0</v>
      </c>
      <c r="I38" s="35">
        <v>0</v>
      </c>
      <c r="J38" s="14">
        <v>1</v>
      </c>
      <c r="K38" s="35">
        <f>34563.74/1000</f>
        <v>34.563739999999996</v>
      </c>
      <c r="L38" s="14">
        <v>0</v>
      </c>
      <c r="M38" s="35">
        <v>0</v>
      </c>
      <c r="N38" s="14">
        <v>0</v>
      </c>
      <c r="O38" s="35">
        <v>0</v>
      </c>
      <c r="P38" s="14">
        <v>0</v>
      </c>
      <c r="Q38" s="35">
        <v>0</v>
      </c>
      <c r="R38" s="14">
        <v>0</v>
      </c>
      <c r="S38" s="35">
        <v>0</v>
      </c>
      <c r="T38" s="14">
        <v>0</v>
      </c>
      <c r="U38" s="35">
        <v>0</v>
      </c>
      <c r="V38" s="14">
        <v>0</v>
      </c>
      <c r="W38" s="35">
        <v>0</v>
      </c>
      <c r="X38" s="14">
        <v>0</v>
      </c>
      <c r="Y38" s="35">
        <v>0</v>
      </c>
      <c r="Z38" s="14">
        <f t="shared" si="5"/>
        <v>3</v>
      </c>
      <c r="AA38" s="35">
        <f t="shared" si="6"/>
        <v>56.730669999999996</v>
      </c>
    </row>
    <row r="39" spans="1:27" ht="13.5" customHeight="1" x14ac:dyDescent="0.25">
      <c r="A39" s="12" t="s">
        <v>51</v>
      </c>
      <c r="B39" s="14">
        <v>3</v>
      </c>
      <c r="C39" s="35">
        <f>16243.62/1000</f>
        <v>16.24362</v>
      </c>
      <c r="D39" s="14">
        <v>0</v>
      </c>
      <c r="E39" s="35">
        <v>0</v>
      </c>
      <c r="F39" s="14">
        <v>0</v>
      </c>
      <c r="G39" s="35">
        <v>0</v>
      </c>
      <c r="H39" s="14">
        <v>0</v>
      </c>
      <c r="I39" s="35">
        <v>0</v>
      </c>
      <c r="J39" s="14">
        <v>5</v>
      </c>
      <c r="K39" s="35">
        <f>40829.53/1000</f>
        <v>40.829529999999998</v>
      </c>
      <c r="L39" s="14">
        <v>4</v>
      </c>
      <c r="M39" s="35">
        <v>43.563000000000009</v>
      </c>
      <c r="N39" s="14">
        <v>9</v>
      </c>
      <c r="O39" s="35">
        <v>138.95836</v>
      </c>
      <c r="P39" s="14">
        <v>6</v>
      </c>
      <c r="Q39" s="35">
        <v>76.683159999999987</v>
      </c>
      <c r="R39" s="14">
        <v>1</v>
      </c>
      <c r="S39" s="35">
        <v>10.877129999999999</v>
      </c>
      <c r="T39" s="14">
        <v>1</v>
      </c>
      <c r="U39" s="35">
        <v>18.932560000000002</v>
      </c>
      <c r="V39" s="14">
        <v>6</v>
      </c>
      <c r="W39" s="35">
        <v>74.736990000000006</v>
      </c>
      <c r="X39" s="22">
        <v>3</v>
      </c>
      <c r="Y39" s="35">
        <v>19.576280000000001</v>
      </c>
      <c r="Z39" s="14">
        <f t="shared" si="5"/>
        <v>38</v>
      </c>
      <c r="AA39" s="35">
        <f t="shared" si="6"/>
        <v>440.40062999999998</v>
      </c>
    </row>
    <row r="40" spans="1:27" ht="13.5" customHeight="1" x14ac:dyDescent="0.25">
      <c r="A40" s="12" t="s">
        <v>22</v>
      </c>
      <c r="B40" s="14">
        <v>0</v>
      </c>
      <c r="C40" s="35">
        <v>0</v>
      </c>
      <c r="D40" s="14">
        <v>1</v>
      </c>
      <c r="E40" s="35">
        <f>10933.2/1000</f>
        <v>10.933200000000001</v>
      </c>
      <c r="F40" s="14">
        <v>1</v>
      </c>
      <c r="G40" s="35">
        <v>12.672000000000001</v>
      </c>
      <c r="H40" s="14">
        <v>0</v>
      </c>
      <c r="I40" s="35">
        <v>0</v>
      </c>
      <c r="J40" s="14">
        <v>1</v>
      </c>
      <c r="K40" s="35">
        <f>11203.92/1000</f>
        <v>11.20392</v>
      </c>
      <c r="L40" s="14">
        <v>0</v>
      </c>
      <c r="M40" s="35">
        <v>0</v>
      </c>
      <c r="N40" s="14">
        <v>3</v>
      </c>
      <c r="O40" s="35">
        <v>21.038790000000002</v>
      </c>
      <c r="P40" s="14">
        <v>0</v>
      </c>
      <c r="Q40" s="35">
        <v>0</v>
      </c>
      <c r="R40" s="33">
        <v>0</v>
      </c>
      <c r="S40" s="37">
        <v>0</v>
      </c>
      <c r="T40" s="14">
        <v>0</v>
      </c>
      <c r="U40" s="35">
        <v>0</v>
      </c>
      <c r="V40" s="14">
        <v>0</v>
      </c>
      <c r="W40" s="35">
        <v>0</v>
      </c>
      <c r="X40" s="14">
        <v>1</v>
      </c>
      <c r="Y40" s="35">
        <v>12.26539</v>
      </c>
      <c r="Z40" s="14">
        <f t="shared" si="5"/>
        <v>7</v>
      </c>
      <c r="AA40" s="35">
        <f t="shared" si="6"/>
        <v>68.113299999999995</v>
      </c>
    </row>
    <row r="41" spans="1:27" ht="13.5" customHeight="1" x14ac:dyDescent="0.25">
      <c r="A41" s="12" t="s">
        <v>23</v>
      </c>
      <c r="B41" s="14">
        <v>0</v>
      </c>
      <c r="C41" s="35">
        <v>0</v>
      </c>
      <c r="D41" s="14">
        <v>0</v>
      </c>
      <c r="E41" s="35">
        <v>0</v>
      </c>
      <c r="F41" s="14">
        <v>3</v>
      </c>
      <c r="G41" s="35">
        <f>40569.3/1000</f>
        <v>40.569300000000005</v>
      </c>
      <c r="H41" s="14">
        <v>0</v>
      </c>
      <c r="I41" s="35">
        <v>0</v>
      </c>
      <c r="J41" s="14">
        <v>3</v>
      </c>
      <c r="K41" s="35">
        <f>42660.04/1000</f>
        <v>42.660040000000002</v>
      </c>
      <c r="L41" s="14">
        <v>5</v>
      </c>
      <c r="M41" s="35">
        <v>128.77101999999999</v>
      </c>
      <c r="N41" s="14">
        <v>4</v>
      </c>
      <c r="O41" s="35">
        <v>67.389350000000007</v>
      </c>
      <c r="P41" s="14">
        <v>2</v>
      </c>
      <c r="Q41" s="35">
        <v>40.164089999999995</v>
      </c>
      <c r="R41" s="14">
        <v>1</v>
      </c>
      <c r="S41" s="35">
        <v>42.679000000000002</v>
      </c>
      <c r="T41" s="14">
        <v>7</v>
      </c>
      <c r="U41" s="35">
        <v>98.20989999999999</v>
      </c>
      <c r="V41" s="14">
        <v>4</v>
      </c>
      <c r="W41" s="35">
        <v>34.630299999999998</v>
      </c>
      <c r="X41" s="14">
        <v>1</v>
      </c>
      <c r="Y41" s="35">
        <v>19.21125</v>
      </c>
      <c r="Z41" s="14">
        <f t="shared" si="5"/>
        <v>30</v>
      </c>
      <c r="AA41" s="35">
        <f t="shared" si="6"/>
        <v>514.28424999999993</v>
      </c>
    </row>
    <row r="42" spans="1:27" ht="13.5" customHeight="1" x14ac:dyDescent="0.25">
      <c r="A42" s="12" t="s">
        <v>24</v>
      </c>
      <c r="B42" s="14">
        <v>0</v>
      </c>
      <c r="C42" s="35">
        <v>0</v>
      </c>
      <c r="D42" s="14">
        <v>5</v>
      </c>
      <c r="E42" s="35">
        <f>30282.49/1000</f>
        <v>30.282490000000003</v>
      </c>
      <c r="F42" s="14">
        <v>4</v>
      </c>
      <c r="G42" s="35">
        <f>58730.19/1000</f>
        <v>58.73019</v>
      </c>
      <c r="H42" s="14">
        <v>3</v>
      </c>
      <c r="I42" s="35">
        <f>17153.31/1000</f>
        <v>17.153310000000001</v>
      </c>
      <c r="J42" s="14">
        <v>5</v>
      </c>
      <c r="K42" s="35">
        <f>47115/1000</f>
        <v>47.115000000000002</v>
      </c>
      <c r="L42" s="14">
        <v>5</v>
      </c>
      <c r="M42" s="35">
        <v>35.030110000000001</v>
      </c>
      <c r="N42" s="14">
        <v>6</v>
      </c>
      <c r="O42" s="35">
        <v>55.895050000000005</v>
      </c>
      <c r="P42" s="14">
        <v>3</v>
      </c>
      <c r="Q42" s="35">
        <v>25.582429999999999</v>
      </c>
      <c r="R42" s="14">
        <v>2</v>
      </c>
      <c r="S42" s="35">
        <v>30.658900000000003</v>
      </c>
      <c r="T42" s="14">
        <v>1</v>
      </c>
      <c r="U42" s="35">
        <v>11.423999999999999</v>
      </c>
      <c r="V42" s="14">
        <v>5</v>
      </c>
      <c r="W42" s="35">
        <v>81.529650000000004</v>
      </c>
      <c r="X42" s="14">
        <v>0</v>
      </c>
      <c r="Y42" s="35">
        <v>0</v>
      </c>
      <c r="Z42" s="14">
        <f t="shared" si="5"/>
        <v>39</v>
      </c>
      <c r="AA42" s="35">
        <f t="shared" si="6"/>
        <v>393.40112999999997</v>
      </c>
    </row>
    <row r="43" spans="1:27" ht="13.5" customHeight="1" x14ac:dyDescent="0.25">
      <c r="A43" s="12" t="s">
        <v>25</v>
      </c>
      <c r="B43" s="14">
        <v>0</v>
      </c>
      <c r="C43" s="35">
        <v>0</v>
      </c>
      <c r="D43" s="14">
        <v>1</v>
      </c>
      <c r="E43" s="35">
        <f>12760.55/1000</f>
        <v>12.760549999999999</v>
      </c>
      <c r="F43" s="14">
        <v>4</v>
      </c>
      <c r="G43" s="35">
        <f>27758.58/1000</f>
        <v>27.758580000000002</v>
      </c>
      <c r="H43" s="14">
        <v>2</v>
      </c>
      <c r="I43" s="35">
        <f>11189.68/1000</f>
        <v>11.189680000000001</v>
      </c>
      <c r="J43" s="14">
        <v>5</v>
      </c>
      <c r="K43" s="35">
        <f>29602.79/1000</f>
        <v>29.602790000000002</v>
      </c>
      <c r="L43" s="14">
        <v>6</v>
      </c>
      <c r="M43" s="35">
        <v>180.79208000000003</v>
      </c>
      <c r="N43" s="14">
        <v>3</v>
      </c>
      <c r="O43" s="35">
        <v>16.837319999999998</v>
      </c>
      <c r="P43" s="14">
        <v>2</v>
      </c>
      <c r="Q43" s="35">
        <v>10.44359</v>
      </c>
      <c r="R43" s="14">
        <v>4</v>
      </c>
      <c r="S43" s="35">
        <v>51.320500000000003</v>
      </c>
      <c r="T43" s="14">
        <v>3</v>
      </c>
      <c r="U43" s="35">
        <v>49.859460000000006</v>
      </c>
      <c r="V43" s="14">
        <v>2</v>
      </c>
      <c r="W43" s="35">
        <v>6.2498999999999993</v>
      </c>
      <c r="X43" s="14">
        <v>0</v>
      </c>
      <c r="Y43" s="35">
        <v>0</v>
      </c>
      <c r="Z43" s="14">
        <f t="shared" si="5"/>
        <v>32</v>
      </c>
      <c r="AA43" s="35">
        <f t="shared" si="6"/>
        <v>396.81445000000008</v>
      </c>
    </row>
    <row r="44" spans="1:27" ht="13.5" customHeight="1" x14ac:dyDescent="0.25">
      <c r="A44" s="12" t="s">
        <v>26</v>
      </c>
      <c r="B44" s="14">
        <v>0</v>
      </c>
      <c r="C44" s="35">
        <v>0</v>
      </c>
      <c r="D44" s="14">
        <v>3</v>
      </c>
      <c r="E44" s="35">
        <f>41054.74/1000</f>
        <v>41.054739999999995</v>
      </c>
      <c r="F44" s="14">
        <v>3</v>
      </c>
      <c r="G44" s="35">
        <f>16059.79/1000</f>
        <v>16.05979</v>
      </c>
      <c r="H44" s="14">
        <v>0</v>
      </c>
      <c r="I44" s="35">
        <v>0</v>
      </c>
      <c r="J44" s="14">
        <v>3</v>
      </c>
      <c r="K44" s="35">
        <f>12134.9/1000</f>
        <v>12.1349</v>
      </c>
      <c r="L44" s="14">
        <v>6</v>
      </c>
      <c r="M44" s="35">
        <v>119.07097999999999</v>
      </c>
      <c r="N44" s="14">
        <v>3</v>
      </c>
      <c r="O44" s="35">
        <v>28.361419999999999</v>
      </c>
      <c r="P44" s="14">
        <v>1</v>
      </c>
      <c r="Q44" s="35">
        <v>32.635649999999998</v>
      </c>
      <c r="R44" s="33">
        <v>0</v>
      </c>
      <c r="S44" s="37">
        <v>0</v>
      </c>
      <c r="T44" s="14">
        <v>3</v>
      </c>
      <c r="U44" s="35">
        <v>50.825279999999999</v>
      </c>
      <c r="V44" s="14">
        <v>0</v>
      </c>
      <c r="W44" s="35">
        <v>0</v>
      </c>
      <c r="X44" s="14">
        <v>0</v>
      </c>
      <c r="Y44" s="35">
        <v>0</v>
      </c>
      <c r="Z44" s="14">
        <f t="shared" si="5"/>
        <v>22</v>
      </c>
      <c r="AA44" s="35">
        <f t="shared" si="6"/>
        <v>300.14275999999995</v>
      </c>
    </row>
    <row r="45" spans="1:27" ht="13.5" customHeight="1" x14ac:dyDescent="0.25">
      <c r="A45" s="12" t="s">
        <v>27</v>
      </c>
      <c r="B45" s="14">
        <v>0</v>
      </c>
      <c r="C45" s="35">
        <v>0</v>
      </c>
      <c r="D45" s="14">
        <v>0</v>
      </c>
      <c r="E45" s="35">
        <v>0</v>
      </c>
      <c r="F45" s="14">
        <v>0</v>
      </c>
      <c r="G45" s="35">
        <v>0</v>
      </c>
      <c r="H45" s="14">
        <v>0</v>
      </c>
      <c r="I45" s="35">
        <v>0</v>
      </c>
      <c r="J45" s="14">
        <v>0</v>
      </c>
      <c r="K45" s="35">
        <v>0</v>
      </c>
      <c r="L45" s="14">
        <v>0</v>
      </c>
      <c r="M45" s="35">
        <v>0</v>
      </c>
      <c r="N45" s="14">
        <v>3</v>
      </c>
      <c r="O45" s="35">
        <v>31.464549999999996</v>
      </c>
      <c r="P45" s="14">
        <v>0</v>
      </c>
      <c r="Q45" s="35">
        <v>0</v>
      </c>
      <c r="R45" s="14">
        <v>1</v>
      </c>
      <c r="S45" s="35">
        <v>26.39406</v>
      </c>
      <c r="T45" s="14">
        <v>0</v>
      </c>
      <c r="U45" s="35">
        <v>0</v>
      </c>
      <c r="V45" s="14">
        <v>1</v>
      </c>
      <c r="W45" s="35">
        <v>11.9451</v>
      </c>
      <c r="X45" s="14">
        <v>0</v>
      </c>
      <c r="Y45" s="35">
        <v>0</v>
      </c>
      <c r="Z45" s="14">
        <f t="shared" si="5"/>
        <v>5</v>
      </c>
      <c r="AA45" s="35">
        <f t="shared" si="6"/>
        <v>69.803709999999995</v>
      </c>
    </row>
    <row r="46" spans="1:27" ht="13.5" customHeight="1" x14ac:dyDescent="0.25">
      <c r="A46" s="12" t="s">
        <v>28</v>
      </c>
      <c r="B46" s="14">
        <v>2</v>
      </c>
      <c r="C46" s="35">
        <f>4806.94/1000</f>
        <v>4.80694</v>
      </c>
      <c r="D46" s="14">
        <v>3</v>
      </c>
      <c r="E46" s="35">
        <f>30043.79/1000</f>
        <v>30.043790000000001</v>
      </c>
      <c r="F46" s="14">
        <v>14</v>
      </c>
      <c r="G46" s="35">
        <f>262945.28/1000</f>
        <v>262.94528000000003</v>
      </c>
      <c r="H46" s="14">
        <v>4</v>
      </c>
      <c r="I46" s="35">
        <f>38998.02/1000</f>
        <v>38.998019999999997</v>
      </c>
      <c r="J46" s="14">
        <v>11</v>
      </c>
      <c r="K46" s="35">
        <f>198996.11/1000</f>
        <v>198.99610999999999</v>
      </c>
      <c r="L46" s="14">
        <v>5</v>
      </c>
      <c r="M46" s="35">
        <v>142.33423000000002</v>
      </c>
      <c r="N46" s="14">
        <v>2</v>
      </c>
      <c r="O46" s="35">
        <v>13.40452</v>
      </c>
      <c r="P46" s="14">
        <v>4</v>
      </c>
      <c r="Q46" s="35">
        <v>65.767420000000001</v>
      </c>
      <c r="R46" s="14">
        <v>3</v>
      </c>
      <c r="S46" s="35">
        <v>14.971039999999997</v>
      </c>
      <c r="T46" s="14">
        <v>3</v>
      </c>
      <c r="U46" s="35">
        <v>30.107900000000001</v>
      </c>
      <c r="V46" s="14">
        <v>13</v>
      </c>
      <c r="W46" s="35">
        <v>118.57854</v>
      </c>
      <c r="X46" s="14">
        <v>1</v>
      </c>
      <c r="Y46" s="35">
        <v>14.38528</v>
      </c>
      <c r="Z46" s="14">
        <f t="shared" si="5"/>
        <v>65</v>
      </c>
      <c r="AA46" s="35">
        <f t="shared" si="6"/>
        <v>935.33907000000011</v>
      </c>
    </row>
    <row r="47" spans="1:27" ht="13.5" customHeight="1" x14ac:dyDescent="0.25">
      <c r="A47" s="12" t="s">
        <v>29</v>
      </c>
      <c r="B47" s="14">
        <v>3</v>
      </c>
      <c r="C47" s="35">
        <f>16985.15/1000</f>
        <v>16.985150000000001</v>
      </c>
      <c r="D47" s="14">
        <v>0</v>
      </c>
      <c r="E47" s="35">
        <v>0</v>
      </c>
      <c r="F47" s="14">
        <v>0</v>
      </c>
      <c r="G47" s="35">
        <v>0</v>
      </c>
      <c r="H47" s="14">
        <v>0</v>
      </c>
      <c r="I47" s="35">
        <v>0</v>
      </c>
      <c r="J47" s="14">
        <v>0</v>
      </c>
      <c r="K47" s="35">
        <v>0</v>
      </c>
      <c r="L47" s="14">
        <v>3</v>
      </c>
      <c r="M47" s="35">
        <v>51.43018</v>
      </c>
      <c r="N47" s="14">
        <v>1</v>
      </c>
      <c r="O47" s="35">
        <v>7.1981400000000004</v>
      </c>
      <c r="P47" s="14">
        <v>2</v>
      </c>
      <c r="Q47" s="35">
        <v>20.59646</v>
      </c>
      <c r="R47" s="14">
        <v>1</v>
      </c>
      <c r="S47" s="35">
        <v>61.051760000000002</v>
      </c>
      <c r="T47" s="14">
        <v>2</v>
      </c>
      <c r="U47" s="35">
        <v>11.790089999999999</v>
      </c>
      <c r="V47" s="14">
        <v>0</v>
      </c>
      <c r="W47" s="35">
        <v>0</v>
      </c>
      <c r="X47" s="22">
        <v>0</v>
      </c>
      <c r="Y47" s="35">
        <v>0</v>
      </c>
      <c r="Z47" s="14">
        <f t="shared" si="5"/>
        <v>12</v>
      </c>
      <c r="AA47" s="35">
        <f t="shared" si="6"/>
        <v>169.05178000000001</v>
      </c>
    </row>
    <row r="48" spans="1:27" ht="13.5" customHeight="1" x14ac:dyDescent="0.25">
      <c r="A48" s="12" t="s">
        <v>30</v>
      </c>
      <c r="B48" s="14">
        <v>0</v>
      </c>
      <c r="C48" s="35">
        <v>0</v>
      </c>
      <c r="D48" s="14">
        <v>4</v>
      </c>
      <c r="E48" s="35">
        <f>131391.85/1000</f>
        <v>131.39185000000001</v>
      </c>
      <c r="F48" s="14">
        <v>2</v>
      </c>
      <c r="G48" s="35">
        <f>28805.5/1000</f>
        <v>28.805499999999999</v>
      </c>
      <c r="H48" s="14">
        <v>0</v>
      </c>
      <c r="I48" s="35">
        <v>0</v>
      </c>
      <c r="J48" s="14">
        <v>0</v>
      </c>
      <c r="K48" s="35">
        <v>0</v>
      </c>
      <c r="L48" s="14">
        <v>0</v>
      </c>
      <c r="M48" s="35">
        <v>0</v>
      </c>
      <c r="N48" s="14">
        <v>0</v>
      </c>
      <c r="O48" s="35">
        <v>0</v>
      </c>
      <c r="P48" s="14">
        <v>0</v>
      </c>
      <c r="Q48" s="35">
        <v>0</v>
      </c>
      <c r="R48" s="14">
        <v>0</v>
      </c>
      <c r="S48" s="35">
        <v>0</v>
      </c>
      <c r="T48" s="14">
        <v>4</v>
      </c>
      <c r="U48" s="35">
        <v>136.17693</v>
      </c>
      <c r="V48" s="14">
        <v>0</v>
      </c>
      <c r="W48" s="35">
        <v>0</v>
      </c>
      <c r="X48" s="22">
        <v>-1</v>
      </c>
      <c r="Y48" s="35">
        <v>-76.416800000000009</v>
      </c>
      <c r="Z48" s="14">
        <f t="shared" si="5"/>
        <v>9</v>
      </c>
      <c r="AA48" s="35">
        <f t="shared" si="6"/>
        <v>219.95747999999998</v>
      </c>
    </row>
    <row r="49" spans="1:30" ht="13.5" customHeight="1" x14ac:dyDescent="0.25">
      <c r="A49" s="12" t="s">
        <v>31</v>
      </c>
      <c r="B49" s="14">
        <v>0</v>
      </c>
      <c r="C49" s="35">
        <v>0</v>
      </c>
      <c r="D49" s="14">
        <v>0</v>
      </c>
      <c r="E49" s="35">
        <v>0</v>
      </c>
      <c r="F49" s="14">
        <v>0</v>
      </c>
      <c r="G49" s="35">
        <v>0</v>
      </c>
      <c r="H49" s="14">
        <v>1</v>
      </c>
      <c r="I49" s="35">
        <f>17478/1000</f>
        <v>17.478000000000002</v>
      </c>
      <c r="J49" s="14">
        <v>0</v>
      </c>
      <c r="K49" s="35">
        <v>0</v>
      </c>
      <c r="L49" s="14">
        <v>0</v>
      </c>
      <c r="M49" s="35">
        <v>0</v>
      </c>
      <c r="N49" s="14">
        <v>0</v>
      </c>
      <c r="O49" s="35">
        <v>0</v>
      </c>
      <c r="P49" s="14">
        <v>0</v>
      </c>
      <c r="Q49" s="35">
        <v>0</v>
      </c>
      <c r="R49" s="14">
        <v>3</v>
      </c>
      <c r="S49" s="35">
        <v>45.751409999999993</v>
      </c>
      <c r="T49" s="14">
        <v>0</v>
      </c>
      <c r="U49" s="35">
        <v>0</v>
      </c>
      <c r="V49" s="14">
        <v>0</v>
      </c>
      <c r="W49" s="35">
        <v>0</v>
      </c>
      <c r="X49" s="14">
        <v>1</v>
      </c>
      <c r="Y49" s="35">
        <v>65.870890000000003</v>
      </c>
      <c r="Z49" s="14">
        <f t="shared" si="5"/>
        <v>5</v>
      </c>
      <c r="AA49" s="35">
        <f t="shared" si="6"/>
        <v>129.1003</v>
      </c>
    </row>
    <row r="50" spans="1:30" ht="13.5" customHeight="1" x14ac:dyDescent="0.25">
      <c r="A50" s="12" t="s">
        <v>32</v>
      </c>
      <c r="B50" s="14">
        <v>0</v>
      </c>
      <c r="C50" s="35">
        <v>0</v>
      </c>
      <c r="D50" s="14">
        <v>0</v>
      </c>
      <c r="E50" s="35">
        <v>0</v>
      </c>
      <c r="F50" s="14">
        <v>0</v>
      </c>
      <c r="G50" s="35">
        <v>0</v>
      </c>
      <c r="H50" s="14">
        <v>0</v>
      </c>
      <c r="I50" s="35">
        <v>0</v>
      </c>
      <c r="J50" s="14">
        <v>1</v>
      </c>
      <c r="K50" s="35">
        <f>5314.56/1000</f>
        <v>5.3145600000000002</v>
      </c>
      <c r="L50" s="14">
        <v>0</v>
      </c>
      <c r="M50" s="35">
        <v>0</v>
      </c>
      <c r="N50" s="14">
        <v>5</v>
      </c>
      <c r="O50" s="35">
        <v>35.477679999999999</v>
      </c>
      <c r="P50" s="14">
        <v>1</v>
      </c>
      <c r="Q50" s="35">
        <v>4.2010399999999999</v>
      </c>
      <c r="R50" s="14">
        <v>0</v>
      </c>
      <c r="S50" s="35">
        <v>0</v>
      </c>
      <c r="T50" s="14">
        <v>9</v>
      </c>
      <c r="U50" s="35">
        <v>221.97630000000004</v>
      </c>
      <c r="V50" s="14">
        <v>0</v>
      </c>
      <c r="W50" s="35">
        <v>0</v>
      </c>
      <c r="X50" s="33">
        <v>0</v>
      </c>
      <c r="Y50" s="37">
        <v>0</v>
      </c>
      <c r="Z50" s="14">
        <f t="shared" si="5"/>
        <v>16</v>
      </c>
      <c r="AA50" s="35">
        <f t="shared" si="6"/>
        <v>266.96958000000006</v>
      </c>
    </row>
    <row r="51" spans="1:30" ht="13.5" customHeight="1" x14ac:dyDescent="0.25">
      <c r="A51" s="12" t="s">
        <v>33</v>
      </c>
      <c r="B51" s="14">
        <v>0</v>
      </c>
      <c r="C51" s="35">
        <v>0</v>
      </c>
      <c r="D51" s="14">
        <v>0</v>
      </c>
      <c r="E51" s="35">
        <v>0</v>
      </c>
      <c r="F51" s="14">
        <v>0</v>
      </c>
      <c r="G51" s="35">
        <v>0</v>
      </c>
      <c r="H51" s="14">
        <v>0</v>
      </c>
      <c r="I51" s="35">
        <v>0</v>
      </c>
      <c r="J51" s="14">
        <v>5</v>
      </c>
      <c r="K51" s="35">
        <f>36549.45/1000</f>
        <v>36.54945</v>
      </c>
      <c r="L51" s="14">
        <v>0</v>
      </c>
      <c r="M51" s="35">
        <v>0</v>
      </c>
      <c r="N51" s="14">
        <v>0</v>
      </c>
      <c r="O51" s="35">
        <v>0</v>
      </c>
      <c r="P51" s="14">
        <v>3</v>
      </c>
      <c r="Q51" s="35">
        <v>37.027229999999996</v>
      </c>
      <c r="R51" s="14">
        <v>0</v>
      </c>
      <c r="S51" s="35">
        <v>0</v>
      </c>
      <c r="T51" s="14">
        <v>0</v>
      </c>
      <c r="U51" s="35">
        <v>0</v>
      </c>
      <c r="V51" s="14">
        <v>1</v>
      </c>
      <c r="W51" s="35">
        <v>6.3327499999999999</v>
      </c>
      <c r="X51" s="22">
        <v>0</v>
      </c>
      <c r="Y51" s="35">
        <v>0</v>
      </c>
      <c r="Z51" s="14">
        <f t="shared" si="5"/>
        <v>9</v>
      </c>
      <c r="AA51" s="35">
        <f t="shared" si="6"/>
        <v>79.909429999999986</v>
      </c>
    </row>
    <row r="52" spans="1:30" s="5" customFormat="1" ht="13.5" customHeight="1" x14ac:dyDescent="0.25">
      <c r="A52" s="21" t="s">
        <v>34</v>
      </c>
      <c r="B52" s="15">
        <v>0</v>
      </c>
      <c r="C52" s="36">
        <f>3939.57/1000</f>
        <v>3.9395700000000002</v>
      </c>
      <c r="D52" s="15">
        <v>4</v>
      </c>
      <c r="E52" s="36">
        <f>20152.06/1000</f>
        <v>20.152060000000002</v>
      </c>
      <c r="F52" s="15">
        <v>0</v>
      </c>
      <c r="G52" s="36">
        <v>0</v>
      </c>
      <c r="H52" s="15">
        <v>1</v>
      </c>
      <c r="I52" s="36">
        <f>3391.3/1000</f>
        <v>3.3913000000000002</v>
      </c>
      <c r="J52" s="15">
        <v>1</v>
      </c>
      <c r="K52" s="36">
        <f>2253.4/1000</f>
        <v>2.2534000000000001</v>
      </c>
      <c r="L52" s="15">
        <v>1</v>
      </c>
      <c r="M52" s="36">
        <v>4.4161899999999994</v>
      </c>
      <c r="N52" s="15">
        <v>1</v>
      </c>
      <c r="O52" s="36">
        <v>28.46781</v>
      </c>
      <c r="P52" s="15">
        <v>1</v>
      </c>
      <c r="Q52" s="36">
        <f>23567.61/1000</f>
        <v>23.567610000000002</v>
      </c>
      <c r="R52" s="15">
        <v>0</v>
      </c>
      <c r="S52" s="36">
        <v>0</v>
      </c>
      <c r="T52" s="15">
        <v>1</v>
      </c>
      <c r="U52" s="36">
        <v>5.9136000000000006</v>
      </c>
      <c r="V52" s="15">
        <v>0</v>
      </c>
      <c r="W52" s="36">
        <v>0</v>
      </c>
      <c r="X52" s="26">
        <v>0</v>
      </c>
      <c r="Y52" s="36">
        <v>0</v>
      </c>
      <c r="Z52" s="15">
        <f t="shared" si="5"/>
        <v>10</v>
      </c>
      <c r="AA52" s="36">
        <f t="shared" si="6"/>
        <v>92.101540000000014</v>
      </c>
      <c r="AD52" s="1"/>
    </row>
    <row r="53" spans="1:30" ht="21" customHeight="1" x14ac:dyDescent="0.2">
      <c r="A53" s="25"/>
      <c r="B53" s="7"/>
      <c r="C53" s="24"/>
      <c r="D53" s="25"/>
      <c r="E53" s="24"/>
      <c r="F53" s="25"/>
      <c r="G53" s="24"/>
      <c r="H53" s="25"/>
      <c r="I53" s="24"/>
      <c r="J53" s="25"/>
      <c r="K53" s="24"/>
      <c r="L53" s="25"/>
      <c r="M53" s="24"/>
      <c r="N53" s="23"/>
      <c r="O53" s="30"/>
    </row>
    <row r="54" spans="1:30" ht="15.75" x14ac:dyDescent="0.25">
      <c r="A54" s="9"/>
      <c r="B54" s="9"/>
      <c r="C54" s="28"/>
      <c r="D54" s="9"/>
      <c r="E54" s="28"/>
      <c r="F54" s="9"/>
      <c r="G54" s="28"/>
      <c r="H54" s="9"/>
      <c r="I54" s="28"/>
      <c r="J54" s="9"/>
      <c r="K54" s="28"/>
      <c r="L54" s="9"/>
      <c r="M54" s="28"/>
    </row>
    <row r="55" spans="1:30" ht="15.75" x14ac:dyDescent="0.25">
      <c r="A55" s="9"/>
      <c r="B55" s="9"/>
      <c r="C55" s="28"/>
      <c r="D55" s="9"/>
      <c r="E55" s="28"/>
      <c r="F55" s="9"/>
      <c r="G55" s="28"/>
      <c r="H55" s="9"/>
      <c r="I55" s="28"/>
      <c r="J55" s="9"/>
      <c r="K55" s="28"/>
      <c r="L55" s="9"/>
      <c r="M55" s="28"/>
    </row>
    <row r="56" spans="1:30" ht="15.75" x14ac:dyDescent="0.25">
      <c r="A56" s="9"/>
      <c r="B56" s="9"/>
      <c r="C56" s="28"/>
      <c r="D56" s="9"/>
      <c r="E56" s="28"/>
      <c r="F56" s="9"/>
      <c r="G56" s="28"/>
      <c r="H56" s="9"/>
      <c r="I56" s="28"/>
      <c r="J56" s="9"/>
      <c r="K56" s="28"/>
      <c r="L56" s="9"/>
      <c r="M56" s="28"/>
    </row>
  </sheetData>
  <mergeCells count="17">
    <mergeCell ref="L10:M10"/>
    <mergeCell ref="A6:AA6"/>
    <mergeCell ref="N10:O10"/>
    <mergeCell ref="A10:A11"/>
    <mergeCell ref="A1:O1"/>
    <mergeCell ref="B10:C10"/>
    <mergeCell ref="D10:E10"/>
    <mergeCell ref="F10:G10"/>
    <mergeCell ref="A8:AA8"/>
    <mergeCell ref="P10:Q10"/>
    <mergeCell ref="R10:S10"/>
    <mergeCell ref="T10:U10"/>
    <mergeCell ref="V10:W10"/>
    <mergeCell ref="X10:Y10"/>
    <mergeCell ref="Z10:AA10"/>
    <mergeCell ref="H10:I10"/>
    <mergeCell ref="J10:K10"/>
  </mergeCells>
  <pageMargins left="0.35433070866141736" right="0" top="0.98425196850393704" bottom="0.59055118110236227" header="0" footer="0"/>
  <pageSetup scale="38" firstPageNumber="212" fitToHeight="2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2.2.6.2015</vt:lpstr>
      <vt:lpstr>'2.2.6.2015'!Área_de_impresión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Rodriguez Zarate</dc:creator>
  <cp:lastModifiedBy>Martha Marisela Avila Jimenez</cp:lastModifiedBy>
  <cp:lastPrinted>2016-02-11T23:07:44Z</cp:lastPrinted>
  <dcterms:created xsi:type="dcterms:W3CDTF">2012-04-27T17:56:28Z</dcterms:created>
  <dcterms:modified xsi:type="dcterms:W3CDTF">2016-03-28T23:27:28Z</dcterms:modified>
</cp:coreProperties>
</file>